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lta.mkm.ee/dhs/webdav/31127876833c1521bed47e1741045c3488ad75dd/39411250829/4cb0b5fe-c9cc-46d7-bb99-0d84c5bc297e/"/>
    </mc:Choice>
  </mc:AlternateContent>
  <xr:revisionPtr revIDLastSave="0" documentId="13_ncr:1_{403C4DC4-3BC5-427E-AE76-ECDEDE023FF7}" xr6:coauthVersionLast="47" xr6:coauthVersionMax="47" xr10:uidLastSave="{00000000-0000-0000-0000-000000000000}"/>
  <bookViews>
    <workbookView xWindow="825" yWindow="-120" windowWidth="28095" windowHeight="16440" xr2:uid="{45D6DC58-9BA2-4F09-ABBB-4D9F3C4E5462}"/>
  </bookViews>
  <sheets>
    <sheet name="2024" sheetId="4" r:id="rId1"/>
    <sheet name="2023" sheetId="1" r:id="rId2"/>
    <sheet name="2024 KM-ta" sheetId="3" state="hidden" r:id="rId3"/>
  </sheets>
  <definedNames>
    <definedName name="_xlnm.Print_Area" localSheetId="0">'2024'!$A$1:$U$95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5" i="4" l="1"/>
  <c r="U6" i="4"/>
  <c r="U7" i="4"/>
  <c r="U8" i="4"/>
  <c r="U9" i="4"/>
  <c r="U10" i="4"/>
  <c r="U11" i="4"/>
  <c r="I11" i="4" s="1"/>
  <c r="U12" i="4"/>
  <c r="U93" i="4" s="1"/>
  <c r="U13" i="4"/>
  <c r="U14" i="4"/>
  <c r="U15" i="4"/>
  <c r="U16" i="4"/>
  <c r="U17" i="4"/>
  <c r="I17" i="4" s="1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I33" i="4" s="1"/>
  <c r="U34" i="4"/>
  <c r="U35" i="4"/>
  <c r="U36" i="4"/>
  <c r="U37" i="4"/>
  <c r="U38" i="4"/>
  <c r="U39" i="4"/>
  <c r="U40" i="4"/>
  <c r="U41" i="4"/>
  <c r="I41" i="4" s="1"/>
  <c r="U42" i="4"/>
  <c r="U43" i="4"/>
  <c r="U44" i="4"/>
  <c r="U45" i="4"/>
  <c r="U46" i="4"/>
  <c r="U47" i="4"/>
  <c r="U48" i="4"/>
  <c r="U49" i="4"/>
  <c r="U50" i="4"/>
  <c r="U51" i="4"/>
  <c r="U52" i="4"/>
  <c r="U53" i="4"/>
  <c r="U54" i="4"/>
  <c r="U55" i="4"/>
  <c r="U56" i="4"/>
  <c r="U57" i="4"/>
  <c r="I57" i="4" s="1"/>
  <c r="U58" i="4"/>
  <c r="U59" i="4"/>
  <c r="U60" i="4"/>
  <c r="U61" i="4"/>
  <c r="U62" i="4"/>
  <c r="U63" i="4"/>
  <c r="U64" i="4"/>
  <c r="U65" i="4"/>
  <c r="U66" i="4"/>
  <c r="U67" i="4"/>
  <c r="U68" i="4"/>
  <c r="I68" i="4" s="1"/>
  <c r="U69" i="4"/>
  <c r="U70" i="4"/>
  <c r="U71" i="4"/>
  <c r="U72" i="4"/>
  <c r="U73" i="4"/>
  <c r="I73" i="4" s="1"/>
  <c r="U74" i="4"/>
  <c r="U75" i="4"/>
  <c r="U76" i="4"/>
  <c r="U77" i="4"/>
  <c r="U78" i="4"/>
  <c r="U79" i="4"/>
  <c r="U80" i="4"/>
  <c r="U81" i="4"/>
  <c r="U82" i="4"/>
  <c r="U83" i="4"/>
  <c r="U84" i="4"/>
  <c r="U85" i="4"/>
  <c r="U86" i="4"/>
  <c r="U87" i="4"/>
  <c r="U88" i="4"/>
  <c r="U89" i="4"/>
  <c r="U90" i="4"/>
  <c r="U91" i="4"/>
  <c r="U92" i="4"/>
  <c r="T5" i="4"/>
  <c r="T6" i="4"/>
  <c r="T93" i="4" s="1"/>
  <c r="T7" i="4"/>
  <c r="T8" i="4"/>
  <c r="T9" i="4"/>
  <c r="I9" i="4" s="1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I25" i="4" s="1"/>
  <c r="T26" i="4"/>
  <c r="I26" i="4" s="1"/>
  <c r="T27" i="4"/>
  <c r="T28" i="4"/>
  <c r="T29" i="4"/>
  <c r="T30" i="4"/>
  <c r="T31" i="4"/>
  <c r="T32" i="4"/>
  <c r="T33" i="4"/>
  <c r="T34" i="4"/>
  <c r="I34" i="4" s="1"/>
  <c r="T35" i="4"/>
  <c r="T36" i="4"/>
  <c r="T37" i="4"/>
  <c r="T38" i="4"/>
  <c r="I38" i="4" s="1"/>
  <c r="T39" i="4"/>
  <c r="T40" i="4"/>
  <c r="T41" i="4"/>
  <c r="T42" i="4"/>
  <c r="T43" i="4"/>
  <c r="T44" i="4"/>
  <c r="T45" i="4"/>
  <c r="T46" i="4"/>
  <c r="I46" i="4" s="1"/>
  <c r="T47" i="4"/>
  <c r="T48" i="4"/>
  <c r="T49" i="4"/>
  <c r="T50" i="4"/>
  <c r="T51" i="4"/>
  <c r="T52" i="4"/>
  <c r="T53" i="4"/>
  <c r="T54" i="4"/>
  <c r="T55" i="4"/>
  <c r="T56" i="4"/>
  <c r="T57" i="4"/>
  <c r="T58" i="4"/>
  <c r="I58" i="4" s="1"/>
  <c r="T59" i="4"/>
  <c r="T60" i="4"/>
  <c r="T61" i="4"/>
  <c r="T62" i="4"/>
  <c r="I62" i="4" s="1"/>
  <c r="T63" i="4"/>
  <c r="T64" i="4"/>
  <c r="T65" i="4"/>
  <c r="I65" i="4" s="1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79" i="4"/>
  <c r="T80" i="4"/>
  <c r="T81" i="4"/>
  <c r="T82" i="4"/>
  <c r="I82" i="4" s="1"/>
  <c r="T83" i="4"/>
  <c r="T84" i="4"/>
  <c r="T85" i="4"/>
  <c r="T86" i="4"/>
  <c r="I86" i="4" s="1"/>
  <c r="T87" i="4"/>
  <c r="T88" i="4"/>
  <c r="T89" i="4"/>
  <c r="I89" i="4" s="1"/>
  <c r="T90" i="4"/>
  <c r="T91" i="4"/>
  <c r="T92" i="4"/>
  <c r="I92" i="4" s="1"/>
  <c r="T4" i="4"/>
  <c r="S5" i="4"/>
  <c r="S6" i="4"/>
  <c r="S7" i="4"/>
  <c r="S8" i="4"/>
  <c r="S9" i="4"/>
  <c r="S10" i="4"/>
  <c r="I10" i="4" s="1"/>
  <c r="S11" i="4"/>
  <c r="S12" i="4"/>
  <c r="S13" i="4"/>
  <c r="S14" i="4"/>
  <c r="S15" i="4"/>
  <c r="S16" i="4"/>
  <c r="S17" i="4"/>
  <c r="S18" i="4"/>
  <c r="I18" i="4" s="1"/>
  <c r="S19" i="4"/>
  <c r="I19" i="4" s="1"/>
  <c r="S20" i="4"/>
  <c r="S21" i="4"/>
  <c r="S22" i="4"/>
  <c r="S23" i="4"/>
  <c r="S24" i="4"/>
  <c r="S25" i="4"/>
  <c r="S26" i="4"/>
  <c r="S27" i="4"/>
  <c r="I27" i="4" s="1"/>
  <c r="S28" i="4"/>
  <c r="S29" i="4"/>
  <c r="S30" i="4"/>
  <c r="S31" i="4"/>
  <c r="S32" i="4"/>
  <c r="S33" i="4"/>
  <c r="S34" i="4"/>
  <c r="S35" i="4"/>
  <c r="I35" i="4" s="1"/>
  <c r="S36" i="4"/>
  <c r="S37" i="4"/>
  <c r="S38" i="4"/>
  <c r="S39" i="4"/>
  <c r="S40" i="4"/>
  <c r="S41" i="4"/>
  <c r="S42" i="4"/>
  <c r="I42" i="4" s="1"/>
  <c r="S43" i="4"/>
  <c r="S44" i="4"/>
  <c r="S45" i="4"/>
  <c r="S46" i="4"/>
  <c r="S47" i="4"/>
  <c r="S48" i="4"/>
  <c r="S49" i="4"/>
  <c r="S50" i="4"/>
  <c r="I50" i="4" s="1"/>
  <c r="S51" i="4"/>
  <c r="I51" i="4" s="1"/>
  <c r="S52" i="4"/>
  <c r="S53" i="4"/>
  <c r="S54" i="4"/>
  <c r="S55" i="4"/>
  <c r="S56" i="4"/>
  <c r="S57" i="4"/>
  <c r="S58" i="4"/>
  <c r="S59" i="4"/>
  <c r="I59" i="4" s="1"/>
  <c r="S60" i="4"/>
  <c r="S61" i="4"/>
  <c r="S62" i="4"/>
  <c r="S63" i="4"/>
  <c r="S64" i="4"/>
  <c r="S65" i="4"/>
  <c r="S66" i="4"/>
  <c r="I66" i="4" s="1"/>
  <c r="S67" i="4"/>
  <c r="I67" i="4" s="1"/>
  <c r="S68" i="4"/>
  <c r="S69" i="4"/>
  <c r="S70" i="4"/>
  <c r="S71" i="4"/>
  <c r="S72" i="4"/>
  <c r="S73" i="4"/>
  <c r="S74" i="4"/>
  <c r="I74" i="4" s="1"/>
  <c r="S75" i="4"/>
  <c r="I75" i="4" s="1"/>
  <c r="S76" i="4"/>
  <c r="S77" i="4"/>
  <c r="S78" i="4"/>
  <c r="S79" i="4"/>
  <c r="S80" i="4"/>
  <c r="S81" i="4"/>
  <c r="S82" i="4"/>
  <c r="S83" i="4"/>
  <c r="I83" i="4" s="1"/>
  <c r="S84" i="4"/>
  <c r="S85" i="4"/>
  <c r="S86" i="4"/>
  <c r="S87" i="4"/>
  <c r="S88" i="4"/>
  <c r="S89" i="4"/>
  <c r="S90" i="4"/>
  <c r="I90" i="4" s="1"/>
  <c r="S91" i="4"/>
  <c r="I91" i="4" s="1"/>
  <c r="S92" i="4"/>
  <c r="S4" i="4"/>
  <c r="U4" i="4"/>
  <c r="R5" i="4"/>
  <c r="R6" i="4"/>
  <c r="R7" i="4"/>
  <c r="R8" i="4"/>
  <c r="R9" i="4"/>
  <c r="H9" i="4" s="1"/>
  <c r="R10" i="4"/>
  <c r="R11" i="4"/>
  <c r="R12" i="4"/>
  <c r="R13" i="4"/>
  <c r="R14" i="4"/>
  <c r="R15" i="4"/>
  <c r="R16" i="4"/>
  <c r="R17" i="4"/>
  <c r="R18" i="4"/>
  <c r="R19" i="4"/>
  <c r="R20" i="4"/>
  <c r="H20" i="4" s="1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H42" i="4" s="1"/>
  <c r="R43" i="4"/>
  <c r="R44" i="4"/>
  <c r="R45" i="4"/>
  <c r="R46" i="4"/>
  <c r="R47" i="4"/>
  <c r="R48" i="4"/>
  <c r="R49" i="4"/>
  <c r="H49" i="4" s="1"/>
  <c r="R50" i="4"/>
  <c r="R51" i="4"/>
  <c r="R52" i="4"/>
  <c r="H52" i="4" s="1"/>
  <c r="R53" i="4"/>
  <c r="R54" i="4"/>
  <c r="R55" i="4"/>
  <c r="R56" i="4"/>
  <c r="R57" i="4"/>
  <c r="H57" i="4" s="1"/>
  <c r="R58" i="4"/>
  <c r="R59" i="4"/>
  <c r="R60" i="4"/>
  <c r="R61" i="4"/>
  <c r="R62" i="4"/>
  <c r="R63" i="4"/>
  <c r="R64" i="4"/>
  <c r="R65" i="4"/>
  <c r="R66" i="4"/>
  <c r="R67" i="4"/>
  <c r="R68" i="4"/>
  <c r="R69" i="4"/>
  <c r="R70" i="4"/>
  <c r="R71" i="4"/>
  <c r="R72" i="4"/>
  <c r="R73" i="4"/>
  <c r="R74" i="4"/>
  <c r="H74" i="4" s="1"/>
  <c r="R75" i="4"/>
  <c r="R76" i="4"/>
  <c r="R77" i="4"/>
  <c r="R78" i="4"/>
  <c r="R79" i="4"/>
  <c r="R80" i="4"/>
  <c r="R81" i="4"/>
  <c r="R82" i="4"/>
  <c r="R83" i="4"/>
  <c r="R84" i="4"/>
  <c r="H84" i="4" s="1"/>
  <c r="R85" i="4"/>
  <c r="R86" i="4"/>
  <c r="R87" i="4"/>
  <c r="R88" i="4"/>
  <c r="R89" i="4"/>
  <c r="R90" i="4"/>
  <c r="R91" i="4"/>
  <c r="R92" i="4"/>
  <c r="Q12" i="4"/>
  <c r="Q13" i="4"/>
  <c r="Q14" i="4"/>
  <c r="Q15" i="4"/>
  <c r="Q16" i="4"/>
  <c r="Q17" i="4"/>
  <c r="H17" i="4" s="1"/>
  <c r="Q18" i="4"/>
  <c r="Q19" i="4"/>
  <c r="Q20" i="4"/>
  <c r="Q21" i="4"/>
  <c r="Q22" i="4"/>
  <c r="Q23" i="4"/>
  <c r="Q24" i="4"/>
  <c r="Q25" i="4"/>
  <c r="H25" i="4" s="1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H40" i="4" s="1"/>
  <c r="Q41" i="4"/>
  <c r="Q42" i="4"/>
  <c r="Q43" i="4"/>
  <c r="Q44" i="4"/>
  <c r="Q45" i="4"/>
  <c r="Q46" i="4"/>
  <c r="Q47" i="4"/>
  <c r="Q48" i="4"/>
  <c r="H48" i="4" s="1"/>
  <c r="Q49" i="4"/>
  <c r="Q50" i="4"/>
  <c r="Q51" i="4"/>
  <c r="Q52" i="4"/>
  <c r="Q53" i="4"/>
  <c r="Q54" i="4"/>
  <c r="Q55" i="4"/>
  <c r="Q56" i="4"/>
  <c r="H56" i="4" s="1"/>
  <c r="Q57" i="4"/>
  <c r="Q58" i="4"/>
  <c r="Q59" i="4"/>
  <c r="H59" i="4" s="1"/>
  <c r="Q60" i="4"/>
  <c r="Q61" i="4"/>
  <c r="Q62" i="4"/>
  <c r="Q63" i="4"/>
  <c r="Q64" i="4"/>
  <c r="H64" i="4" s="1"/>
  <c r="Q65" i="4"/>
  <c r="Q66" i="4"/>
  <c r="Q67" i="4"/>
  <c r="Q68" i="4"/>
  <c r="Q69" i="4"/>
  <c r="Q70" i="4"/>
  <c r="Q71" i="4"/>
  <c r="Q72" i="4"/>
  <c r="H72" i="4" s="1"/>
  <c r="Q73" i="4"/>
  <c r="Q74" i="4"/>
  <c r="Q75" i="4"/>
  <c r="Q76" i="4"/>
  <c r="Q77" i="4"/>
  <c r="Q78" i="4"/>
  <c r="Q79" i="4"/>
  <c r="Q80" i="4"/>
  <c r="Q81" i="4"/>
  <c r="H81" i="4" s="1"/>
  <c r="Q82" i="4"/>
  <c r="Q83" i="4"/>
  <c r="Q84" i="4"/>
  <c r="Q85" i="4"/>
  <c r="Q86" i="4"/>
  <c r="Q87" i="4"/>
  <c r="Q88" i="4"/>
  <c r="Q89" i="4"/>
  <c r="H89" i="4" s="1"/>
  <c r="Q90" i="4"/>
  <c r="Q91" i="4"/>
  <c r="Q92" i="4"/>
  <c r="Q5" i="4"/>
  <c r="Q6" i="4"/>
  <c r="Q7" i="4"/>
  <c r="Q8" i="4"/>
  <c r="Q9" i="4"/>
  <c r="Q10" i="4"/>
  <c r="H10" i="4" s="1"/>
  <c r="Q11" i="4"/>
  <c r="Q4" i="4"/>
  <c r="R4" i="4"/>
  <c r="P5" i="4"/>
  <c r="P6" i="4"/>
  <c r="P7" i="4"/>
  <c r="P8" i="4"/>
  <c r="P93" i="4" s="1"/>
  <c r="P9" i="4"/>
  <c r="P10" i="4"/>
  <c r="P11" i="4"/>
  <c r="P12" i="4"/>
  <c r="P13" i="4"/>
  <c r="P14" i="4"/>
  <c r="P15" i="4"/>
  <c r="P16" i="4"/>
  <c r="P17" i="4"/>
  <c r="P18" i="4"/>
  <c r="H18" i="4" s="1"/>
  <c r="P19" i="4"/>
  <c r="P20" i="4"/>
  <c r="P21" i="4"/>
  <c r="P22" i="4"/>
  <c r="P23" i="4"/>
  <c r="P24" i="4"/>
  <c r="P25" i="4"/>
  <c r="P26" i="4"/>
  <c r="H26" i="4" s="1"/>
  <c r="P27" i="4"/>
  <c r="P28" i="4"/>
  <c r="P29" i="4"/>
  <c r="P30" i="4"/>
  <c r="P31" i="4"/>
  <c r="P32" i="4"/>
  <c r="P33" i="4"/>
  <c r="P34" i="4"/>
  <c r="H34" i="4" s="1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H50" i="4" s="1"/>
  <c r="P51" i="4"/>
  <c r="P52" i="4"/>
  <c r="P53" i="4"/>
  <c r="P54" i="4"/>
  <c r="P55" i="4"/>
  <c r="P56" i="4"/>
  <c r="P57" i="4"/>
  <c r="P58" i="4"/>
  <c r="H58" i="4" s="1"/>
  <c r="P59" i="4"/>
  <c r="P60" i="4"/>
  <c r="P61" i="4"/>
  <c r="P62" i="4"/>
  <c r="P63" i="4"/>
  <c r="P64" i="4"/>
  <c r="P65" i="4"/>
  <c r="P66" i="4"/>
  <c r="H66" i="4" s="1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H82" i="4" s="1"/>
  <c r="P83" i="4"/>
  <c r="P84" i="4"/>
  <c r="P85" i="4"/>
  <c r="P86" i="4"/>
  <c r="P87" i="4"/>
  <c r="P88" i="4"/>
  <c r="P89" i="4"/>
  <c r="P90" i="4"/>
  <c r="H90" i="4" s="1"/>
  <c r="P91" i="4"/>
  <c r="P92" i="4"/>
  <c r="P4" i="4"/>
  <c r="N93" i="4"/>
  <c r="O93" i="4"/>
  <c r="M93" i="4"/>
  <c r="K93" i="4"/>
  <c r="L93" i="4"/>
  <c r="J93" i="4"/>
  <c r="O5" i="4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63" i="4"/>
  <c r="O64" i="4"/>
  <c r="O65" i="4"/>
  <c r="O66" i="4"/>
  <c r="O67" i="4"/>
  <c r="O68" i="4"/>
  <c r="O69" i="4"/>
  <c r="O70" i="4"/>
  <c r="O71" i="4"/>
  <c r="O72" i="4"/>
  <c r="O73" i="4"/>
  <c r="O74" i="4"/>
  <c r="O75" i="4"/>
  <c r="O76" i="4"/>
  <c r="O77" i="4"/>
  <c r="O78" i="4"/>
  <c r="O79" i="4"/>
  <c r="O80" i="4"/>
  <c r="O81" i="4"/>
  <c r="O82" i="4"/>
  <c r="O83" i="4"/>
  <c r="O84" i="4"/>
  <c r="O85" i="4"/>
  <c r="O86" i="4"/>
  <c r="O87" i="4"/>
  <c r="O88" i="4"/>
  <c r="O89" i="4"/>
  <c r="O90" i="4"/>
  <c r="O91" i="4"/>
  <c r="O92" i="4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G19" i="4" s="1"/>
  <c r="M20" i="4"/>
  <c r="M21" i="4"/>
  <c r="M22" i="4"/>
  <c r="M23" i="4"/>
  <c r="M24" i="4"/>
  <c r="M25" i="4"/>
  <c r="M26" i="4"/>
  <c r="M27" i="4"/>
  <c r="G27" i="4" s="1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G43" i="4" s="1"/>
  <c r="M44" i="4"/>
  <c r="M45" i="4"/>
  <c r="M46" i="4"/>
  <c r="M47" i="4"/>
  <c r="M48" i="4"/>
  <c r="M49" i="4"/>
  <c r="M50" i="4"/>
  <c r="M51" i="4"/>
  <c r="G51" i="4" s="1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G67" i="4" s="1"/>
  <c r="M68" i="4"/>
  <c r="M69" i="4"/>
  <c r="M70" i="4"/>
  <c r="M71" i="4"/>
  <c r="M72" i="4"/>
  <c r="M73" i="4"/>
  <c r="M74" i="4"/>
  <c r="M75" i="4"/>
  <c r="G75" i="4" s="1"/>
  <c r="M76" i="4"/>
  <c r="G76" i="4" s="1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G91" i="4" s="1"/>
  <c r="M92" i="4"/>
  <c r="O4" i="4"/>
  <c r="M4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G85" i="4"/>
  <c r="G77" i="4"/>
  <c r="G61" i="4"/>
  <c r="G53" i="4"/>
  <c r="G45" i="4"/>
  <c r="G37" i="4"/>
  <c r="G29" i="4"/>
  <c r="G21" i="4"/>
  <c r="G13" i="4"/>
  <c r="G5" i="4"/>
  <c r="N4" i="4"/>
  <c r="L5" i="4"/>
  <c r="L6" i="4"/>
  <c r="L7" i="4"/>
  <c r="L8" i="4"/>
  <c r="L9" i="4"/>
  <c r="F9" i="4" s="1"/>
  <c r="L10" i="4"/>
  <c r="L11" i="4"/>
  <c r="L12" i="4"/>
  <c r="L13" i="4"/>
  <c r="L14" i="4"/>
  <c r="L15" i="4"/>
  <c r="L16" i="4"/>
  <c r="L17" i="4"/>
  <c r="F17" i="4" s="1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4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F43" i="4" s="1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F59" i="4" s="1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F75" i="4" s="1"/>
  <c r="K76" i="4"/>
  <c r="K77" i="4"/>
  <c r="K78" i="4"/>
  <c r="K79" i="4"/>
  <c r="K80" i="4"/>
  <c r="K81" i="4"/>
  <c r="K82" i="4"/>
  <c r="K83" i="4"/>
  <c r="F83" i="4" s="1"/>
  <c r="K84" i="4"/>
  <c r="K85" i="4"/>
  <c r="K86" i="4"/>
  <c r="K87" i="4"/>
  <c r="K88" i="4"/>
  <c r="K89" i="4"/>
  <c r="K90" i="4"/>
  <c r="K91" i="4"/>
  <c r="F91" i="4" s="1"/>
  <c r="K92" i="4"/>
  <c r="K5" i="4"/>
  <c r="K6" i="4"/>
  <c r="K7" i="4"/>
  <c r="K8" i="4"/>
  <c r="K9" i="4"/>
  <c r="K10" i="4"/>
  <c r="K11" i="4"/>
  <c r="K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4" i="4"/>
  <c r="G90" i="4"/>
  <c r="G89" i="4"/>
  <c r="I88" i="4"/>
  <c r="H88" i="4"/>
  <c r="G88" i="4"/>
  <c r="F88" i="4"/>
  <c r="I87" i="4"/>
  <c r="H87" i="4"/>
  <c r="G87" i="4"/>
  <c r="F87" i="4"/>
  <c r="H86" i="4"/>
  <c r="G86" i="4"/>
  <c r="F86" i="4"/>
  <c r="I85" i="4"/>
  <c r="H85" i="4"/>
  <c r="F85" i="4"/>
  <c r="G83" i="4"/>
  <c r="G82" i="4"/>
  <c r="I81" i="4"/>
  <c r="G81" i="4"/>
  <c r="I80" i="4"/>
  <c r="H80" i="4"/>
  <c r="G80" i="4"/>
  <c r="F80" i="4"/>
  <c r="I79" i="4"/>
  <c r="H79" i="4"/>
  <c r="G79" i="4"/>
  <c r="F79" i="4"/>
  <c r="I78" i="4"/>
  <c r="H78" i="4"/>
  <c r="G78" i="4"/>
  <c r="F78" i="4"/>
  <c r="I77" i="4"/>
  <c r="H77" i="4"/>
  <c r="F77" i="4"/>
  <c r="G74" i="4"/>
  <c r="G73" i="4"/>
  <c r="I72" i="4"/>
  <c r="G72" i="4"/>
  <c r="F72" i="4"/>
  <c r="I71" i="4"/>
  <c r="H71" i="4"/>
  <c r="G71" i="4"/>
  <c r="F71" i="4"/>
  <c r="I70" i="4"/>
  <c r="H70" i="4"/>
  <c r="G70" i="4"/>
  <c r="F70" i="4"/>
  <c r="I69" i="4"/>
  <c r="H69" i="4"/>
  <c r="G69" i="4"/>
  <c r="F69" i="4"/>
  <c r="F67" i="4"/>
  <c r="G66" i="4"/>
  <c r="G65" i="4"/>
  <c r="I64" i="4"/>
  <c r="G64" i="4"/>
  <c r="F64" i="4"/>
  <c r="I63" i="4"/>
  <c r="H63" i="4"/>
  <c r="G63" i="4"/>
  <c r="F63" i="4"/>
  <c r="H62" i="4"/>
  <c r="G62" i="4"/>
  <c r="F62" i="4"/>
  <c r="I61" i="4"/>
  <c r="H61" i="4"/>
  <c r="F61" i="4"/>
  <c r="G59" i="4"/>
  <c r="G58" i="4"/>
  <c r="G57" i="4"/>
  <c r="I56" i="4"/>
  <c r="G56" i="4"/>
  <c r="F56" i="4"/>
  <c r="I55" i="4"/>
  <c r="H55" i="4"/>
  <c r="G55" i="4"/>
  <c r="F55" i="4"/>
  <c r="I54" i="4"/>
  <c r="H54" i="4"/>
  <c r="G54" i="4"/>
  <c r="F54" i="4"/>
  <c r="I53" i="4"/>
  <c r="H53" i="4"/>
  <c r="F53" i="4"/>
  <c r="F51" i="4"/>
  <c r="G50" i="4"/>
  <c r="I49" i="4"/>
  <c r="G49" i="4"/>
  <c r="I48" i="4"/>
  <c r="G48" i="4"/>
  <c r="F48" i="4"/>
  <c r="I47" i="4"/>
  <c r="H47" i="4"/>
  <c r="G47" i="4"/>
  <c r="F47" i="4"/>
  <c r="H46" i="4"/>
  <c r="G46" i="4"/>
  <c r="F46" i="4"/>
  <c r="I45" i="4"/>
  <c r="H45" i="4"/>
  <c r="F45" i="4"/>
  <c r="I43" i="4"/>
  <c r="G42" i="4"/>
  <c r="G41" i="4"/>
  <c r="I40" i="4"/>
  <c r="G40" i="4"/>
  <c r="F40" i="4"/>
  <c r="I39" i="4"/>
  <c r="H39" i="4"/>
  <c r="G39" i="4"/>
  <c r="F39" i="4"/>
  <c r="H38" i="4"/>
  <c r="G38" i="4"/>
  <c r="F38" i="4"/>
  <c r="I37" i="4"/>
  <c r="H37" i="4"/>
  <c r="F37" i="4"/>
  <c r="G35" i="4"/>
  <c r="F35" i="4"/>
  <c r="G34" i="4"/>
  <c r="G33" i="4"/>
  <c r="I32" i="4"/>
  <c r="H32" i="4"/>
  <c r="G32" i="4"/>
  <c r="F32" i="4"/>
  <c r="I31" i="4"/>
  <c r="H31" i="4"/>
  <c r="G31" i="4"/>
  <c r="F31" i="4"/>
  <c r="I30" i="4"/>
  <c r="H30" i="4"/>
  <c r="G30" i="4"/>
  <c r="F30" i="4"/>
  <c r="I29" i="4"/>
  <c r="H29" i="4"/>
  <c r="F29" i="4"/>
  <c r="H27" i="4"/>
  <c r="F27" i="4"/>
  <c r="G26" i="4"/>
  <c r="G25" i="4"/>
  <c r="I24" i="4"/>
  <c r="H24" i="4"/>
  <c r="G24" i="4"/>
  <c r="F24" i="4"/>
  <c r="I23" i="4"/>
  <c r="H23" i="4"/>
  <c r="G23" i="4"/>
  <c r="F23" i="4"/>
  <c r="I22" i="4"/>
  <c r="H22" i="4"/>
  <c r="G22" i="4"/>
  <c r="F22" i="4"/>
  <c r="I21" i="4"/>
  <c r="H21" i="4"/>
  <c r="F21" i="4"/>
  <c r="F19" i="4"/>
  <c r="G18" i="4"/>
  <c r="G17" i="4"/>
  <c r="I16" i="4"/>
  <c r="H16" i="4"/>
  <c r="G16" i="4"/>
  <c r="F16" i="4"/>
  <c r="I15" i="4"/>
  <c r="H15" i="4"/>
  <c r="G15" i="4"/>
  <c r="F15" i="4"/>
  <c r="I14" i="4"/>
  <c r="H14" i="4"/>
  <c r="G14" i="4"/>
  <c r="F14" i="4"/>
  <c r="I13" i="4"/>
  <c r="H13" i="4"/>
  <c r="F13" i="4"/>
  <c r="G11" i="4"/>
  <c r="F11" i="4"/>
  <c r="G10" i="4"/>
  <c r="G9" i="4"/>
  <c r="I8" i="4"/>
  <c r="G8" i="4"/>
  <c r="F8" i="4"/>
  <c r="I7" i="4"/>
  <c r="H7" i="4"/>
  <c r="G7" i="4"/>
  <c r="F7" i="4"/>
  <c r="H6" i="4"/>
  <c r="G6" i="4"/>
  <c r="F6" i="4"/>
  <c r="I5" i="4"/>
  <c r="H5" i="4"/>
  <c r="F5" i="4"/>
  <c r="I4" i="4"/>
  <c r="H4" i="4"/>
  <c r="G4" i="4"/>
  <c r="N93" i="3"/>
  <c r="R93" i="3"/>
  <c r="S93" i="3"/>
  <c r="F12" i="3"/>
  <c r="G12" i="3"/>
  <c r="H12" i="3"/>
  <c r="I12" i="3"/>
  <c r="F92" i="3"/>
  <c r="G92" i="3"/>
  <c r="H92" i="3"/>
  <c r="I92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F61" i="3"/>
  <c r="G61" i="3"/>
  <c r="H61" i="3"/>
  <c r="I61" i="3"/>
  <c r="F62" i="3"/>
  <c r="G62" i="3"/>
  <c r="H62" i="3"/>
  <c r="I62" i="3"/>
  <c r="F63" i="3"/>
  <c r="G63" i="3"/>
  <c r="H63" i="3"/>
  <c r="I63" i="3"/>
  <c r="F64" i="3"/>
  <c r="G64" i="3"/>
  <c r="H64" i="3"/>
  <c r="I64" i="3"/>
  <c r="F65" i="3"/>
  <c r="G65" i="3"/>
  <c r="H65" i="3"/>
  <c r="I65" i="3"/>
  <c r="F66" i="3"/>
  <c r="G66" i="3"/>
  <c r="H66" i="3"/>
  <c r="I66" i="3"/>
  <c r="F67" i="3"/>
  <c r="G67" i="3"/>
  <c r="H67" i="3"/>
  <c r="I67" i="3"/>
  <c r="F68" i="3"/>
  <c r="G68" i="3"/>
  <c r="H68" i="3"/>
  <c r="I68" i="3"/>
  <c r="F69" i="3"/>
  <c r="G69" i="3"/>
  <c r="H69" i="3"/>
  <c r="I69" i="3"/>
  <c r="F70" i="3"/>
  <c r="G70" i="3"/>
  <c r="H70" i="3"/>
  <c r="I70" i="3"/>
  <c r="F71" i="3"/>
  <c r="G71" i="3"/>
  <c r="H71" i="3"/>
  <c r="I71" i="3"/>
  <c r="F72" i="3"/>
  <c r="G72" i="3"/>
  <c r="H72" i="3"/>
  <c r="I72" i="3"/>
  <c r="F73" i="3"/>
  <c r="G73" i="3"/>
  <c r="H73" i="3"/>
  <c r="I73" i="3"/>
  <c r="F74" i="3"/>
  <c r="G74" i="3"/>
  <c r="H74" i="3"/>
  <c r="I74" i="3"/>
  <c r="F75" i="3"/>
  <c r="G75" i="3"/>
  <c r="H75" i="3"/>
  <c r="I75" i="3"/>
  <c r="F76" i="3"/>
  <c r="G76" i="3"/>
  <c r="H76" i="3"/>
  <c r="I76" i="3"/>
  <c r="F77" i="3"/>
  <c r="G77" i="3"/>
  <c r="H77" i="3"/>
  <c r="I77" i="3"/>
  <c r="F47" i="3"/>
  <c r="F48" i="3"/>
  <c r="F49" i="3"/>
  <c r="F50" i="3"/>
  <c r="F51" i="3"/>
  <c r="F52" i="3"/>
  <c r="G47" i="3"/>
  <c r="G48" i="3"/>
  <c r="G49" i="3"/>
  <c r="G50" i="3"/>
  <c r="G51" i="3"/>
  <c r="G52" i="3"/>
  <c r="H47" i="3"/>
  <c r="H48" i="3"/>
  <c r="H49" i="3"/>
  <c r="H50" i="3"/>
  <c r="H51" i="3"/>
  <c r="H52" i="3"/>
  <c r="I47" i="3"/>
  <c r="I48" i="3"/>
  <c r="I49" i="3"/>
  <c r="I50" i="3"/>
  <c r="I51" i="3"/>
  <c r="I52" i="3"/>
  <c r="F46" i="3"/>
  <c r="G46" i="3"/>
  <c r="H46" i="3"/>
  <c r="I46" i="3"/>
  <c r="F34" i="3"/>
  <c r="F35" i="3"/>
  <c r="G34" i="3"/>
  <c r="G35" i="3"/>
  <c r="H34" i="3"/>
  <c r="H35" i="3"/>
  <c r="I34" i="3"/>
  <c r="I35" i="3"/>
  <c r="F38" i="3"/>
  <c r="F39" i="3"/>
  <c r="F40" i="3"/>
  <c r="G38" i="3"/>
  <c r="G39" i="3"/>
  <c r="G40" i="3"/>
  <c r="H38" i="3"/>
  <c r="H39" i="3"/>
  <c r="H40" i="3"/>
  <c r="I38" i="3"/>
  <c r="I39" i="3"/>
  <c r="I40" i="3"/>
  <c r="F41" i="3"/>
  <c r="F42" i="3"/>
  <c r="G41" i="3"/>
  <c r="G42" i="3"/>
  <c r="H41" i="3"/>
  <c r="H42" i="3"/>
  <c r="I41" i="3"/>
  <c r="I42" i="3"/>
  <c r="F43" i="3"/>
  <c r="F44" i="3"/>
  <c r="G43" i="3"/>
  <c r="G44" i="3"/>
  <c r="H43" i="3"/>
  <c r="H44" i="3"/>
  <c r="I43" i="3"/>
  <c r="I44" i="3"/>
  <c r="F45" i="3"/>
  <c r="F53" i="3"/>
  <c r="F54" i="3"/>
  <c r="F55" i="3"/>
  <c r="G45" i="3"/>
  <c r="G53" i="3"/>
  <c r="G54" i="3"/>
  <c r="G55" i="3"/>
  <c r="H45" i="3"/>
  <c r="H53" i="3"/>
  <c r="H54" i="3"/>
  <c r="H55" i="3"/>
  <c r="I45" i="3"/>
  <c r="I53" i="3"/>
  <c r="I54" i="3"/>
  <c r="I55" i="3"/>
  <c r="I4" i="3"/>
  <c r="I5" i="3"/>
  <c r="I6" i="3"/>
  <c r="I7" i="3"/>
  <c r="I8" i="3"/>
  <c r="I9" i="3"/>
  <c r="I10" i="3"/>
  <c r="I11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6" i="3"/>
  <c r="I37" i="3"/>
  <c r="I56" i="3"/>
  <c r="I57" i="3"/>
  <c r="I58" i="3"/>
  <c r="I59" i="3"/>
  <c r="I60" i="3"/>
  <c r="I78" i="3"/>
  <c r="H4" i="3"/>
  <c r="H5" i="3"/>
  <c r="H6" i="3"/>
  <c r="H7" i="3"/>
  <c r="H8" i="3"/>
  <c r="H9" i="3"/>
  <c r="H10" i="3"/>
  <c r="H11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6" i="3"/>
  <c r="H37" i="3"/>
  <c r="H56" i="3"/>
  <c r="H57" i="3"/>
  <c r="H58" i="3"/>
  <c r="H59" i="3"/>
  <c r="H60" i="3"/>
  <c r="H78" i="3"/>
  <c r="G4" i="3"/>
  <c r="K93" i="3" s="1"/>
  <c r="G5" i="3"/>
  <c r="G6" i="3"/>
  <c r="G7" i="3"/>
  <c r="G8" i="3"/>
  <c r="G9" i="3"/>
  <c r="G10" i="3"/>
  <c r="G11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6" i="3"/>
  <c r="G37" i="3"/>
  <c r="G56" i="3"/>
  <c r="G57" i="3"/>
  <c r="G58" i="3"/>
  <c r="G59" i="3"/>
  <c r="G60" i="3"/>
  <c r="G78" i="3"/>
  <c r="F4" i="3"/>
  <c r="F5" i="3"/>
  <c r="F6" i="3"/>
  <c r="F7" i="3"/>
  <c r="F8" i="3"/>
  <c r="F9" i="3"/>
  <c r="F10" i="3"/>
  <c r="F11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6" i="3"/>
  <c r="F37" i="3"/>
  <c r="F56" i="3"/>
  <c r="F57" i="3"/>
  <c r="F58" i="3"/>
  <c r="F59" i="3"/>
  <c r="F60" i="3"/>
  <c r="F78" i="3"/>
  <c r="E38" i="1"/>
  <c r="F38" i="1"/>
  <c r="G38" i="1"/>
  <c r="H38" i="1"/>
  <c r="I38" i="1"/>
  <c r="D38" i="1"/>
  <c r="E37" i="1"/>
  <c r="D37" i="1" s="1"/>
  <c r="G36" i="1"/>
  <c r="E34" i="1"/>
  <c r="D34" i="1" s="1"/>
  <c r="H33" i="1"/>
  <c r="D16" i="1"/>
  <c r="F16" i="1"/>
  <c r="H16" i="1"/>
  <c r="D26" i="1"/>
  <c r="F26" i="1"/>
  <c r="D3" i="1"/>
  <c r="D4" i="1"/>
  <c r="D5" i="1"/>
  <c r="D7" i="1"/>
  <c r="D8" i="1"/>
  <c r="D9" i="1"/>
  <c r="D10" i="1"/>
  <c r="D11" i="1"/>
  <c r="D20" i="1"/>
  <c r="D21" i="1"/>
  <c r="D33" i="1"/>
  <c r="F3" i="1"/>
  <c r="F4" i="1"/>
  <c r="F5" i="1"/>
  <c r="F7" i="1"/>
  <c r="F8" i="1"/>
  <c r="F9" i="1"/>
  <c r="F10" i="1"/>
  <c r="F11" i="1"/>
  <c r="F20" i="1"/>
  <c r="F21" i="1"/>
  <c r="F23" i="1"/>
  <c r="F24" i="1"/>
  <c r="F25" i="1"/>
  <c r="F30" i="1"/>
  <c r="F31" i="1"/>
  <c r="F32" i="1"/>
  <c r="F33" i="1"/>
  <c r="H26" i="1"/>
  <c r="H3" i="1"/>
  <c r="H4" i="1"/>
  <c r="H5" i="1"/>
  <c r="H7" i="1"/>
  <c r="H8" i="1"/>
  <c r="H9" i="1"/>
  <c r="H10" i="1"/>
  <c r="H11" i="1"/>
  <c r="H12" i="1"/>
  <c r="H13" i="1"/>
  <c r="H14" i="1"/>
  <c r="H19" i="1"/>
  <c r="H20" i="1"/>
  <c r="H21" i="1"/>
  <c r="H22" i="1"/>
  <c r="H27" i="1"/>
  <c r="H28" i="1"/>
  <c r="H34" i="1"/>
  <c r="H35" i="1"/>
  <c r="H37" i="1"/>
  <c r="G17" i="1"/>
  <c r="H17" i="1" s="1"/>
  <c r="E17" i="1"/>
  <c r="F17" i="1" s="1"/>
  <c r="I18" i="1"/>
  <c r="G18" i="1"/>
  <c r="H18" i="1" s="1"/>
  <c r="E18" i="1"/>
  <c r="I6" i="4" l="1"/>
  <c r="I84" i="4"/>
  <c r="I76" i="4"/>
  <c r="I60" i="4"/>
  <c r="I52" i="4"/>
  <c r="I44" i="4"/>
  <c r="I36" i="4"/>
  <c r="I28" i="4"/>
  <c r="I20" i="4"/>
  <c r="I12" i="4"/>
  <c r="S93" i="4"/>
  <c r="R93" i="4"/>
  <c r="H92" i="4"/>
  <c r="H76" i="4"/>
  <c r="H68" i="4"/>
  <c r="H60" i="4"/>
  <c r="H44" i="4"/>
  <c r="H36" i="4"/>
  <c r="H28" i="4"/>
  <c r="H12" i="4"/>
  <c r="H73" i="4"/>
  <c r="H65" i="4"/>
  <c r="H41" i="4"/>
  <c r="H33" i="4"/>
  <c r="Q93" i="4"/>
  <c r="H91" i="4"/>
  <c r="E91" i="4" s="1"/>
  <c r="H83" i="4"/>
  <c r="E83" i="4" s="1"/>
  <c r="H75" i="4"/>
  <c r="H67" i="4"/>
  <c r="E67" i="4" s="1"/>
  <c r="H51" i="4"/>
  <c r="H43" i="4"/>
  <c r="E43" i="4" s="1"/>
  <c r="H35" i="4"/>
  <c r="E35" i="4" s="1"/>
  <c r="H19" i="4"/>
  <c r="E19" i="4" s="1"/>
  <c r="H8" i="4"/>
  <c r="E8" i="4" s="1"/>
  <c r="H11" i="4"/>
  <c r="E11" i="4" s="1"/>
  <c r="E62" i="4"/>
  <c r="E64" i="4"/>
  <c r="G92" i="4"/>
  <c r="G84" i="4"/>
  <c r="G52" i="4"/>
  <c r="G20" i="4"/>
  <c r="G12" i="4"/>
  <c r="G68" i="4"/>
  <c r="G44" i="4"/>
  <c r="G28" i="4"/>
  <c r="G60" i="4"/>
  <c r="G36" i="4"/>
  <c r="E51" i="4"/>
  <c r="E78" i="4"/>
  <c r="E46" i="4"/>
  <c r="E56" i="4"/>
  <c r="E27" i="4"/>
  <c r="E17" i="4"/>
  <c r="E30" i="4"/>
  <c r="E9" i="4"/>
  <c r="F90" i="4"/>
  <c r="E90" i="4" s="1"/>
  <c r="F82" i="4"/>
  <c r="E82" i="4" s="1"/>
  <c r="F74" i="4"/>
  <c r="E74" i="4" s="1"/>
  <c r="F66" i="4"/>
  <c r="E66" i="4" s="1"/>
  <c r="F58" i="4"/>
  <c r="E58" i="4" s="1"/>
  <c r="F50" i="4"/>
  <c r="E50" i="4" s="1"/>
  <c r="F42" i="4"/>
  <c r="E42" i="4" s="1"/>
  <c r="F34" i="4"/>
  <c r="E34" i="4" s="1"/>
  <c r="F26" i="4"/>
  <c r="E26" i="4" s="1"/>
  <c r="F18" i="4"/>
  <c r="E18" i="4" s="1"/>
  <c r="E80" i="4"/>
  <c r="F89" i="4"/>
  <c r="E89" i="4" s="1"/>
  <c r="F81" i="4"/>
  <c r="E81" i="4" s="1"/>
  <c r="F73" i="4"/>
  <c r="F65" i="4"/>
  <c r="E65" i="4" s="1"/>
  <c r="F57" i="4"/>
  <c r="E57" i="4" s="1"/>
  <c r="F49" i="4"/>
  <c r="E49" i="4" s="1"/>
  <c r="F41" i="4"/>
  <c r="F33" i="4"/>
  <c r="F25" i="4"/>
  <c r="E25" i="4" s="1"/>
  <c r="E13" i="4"/>
  <c r="E15" i="4"/>
  <c r="E72" i="4"/>
  <c r="E48" i="4"/>
  <c r="E86" i="4"/>
  <c r="E88" i="4"/>
  <c r="E7" i="4"/>
  <c r="E22" i="4"/>
  <c r="E24" i="4"/>
  <c r="F92" i="4"/>
  <c r="F84" i="4"/>
  <c r="E84" i="4" s="1"/>
  <c r="F76" i="4"/>
  <c r="E76" i="4" s="1"/>
  <c r="F68" i="4"/>
  <c r="F60" i="4"/>
  <c r="F52" i="4"/>
  <c r="E52" i="4" s="1"/>
  <c r="F44" i="4"/>
  <c r="F36" i="4"/>
  <c r="F28" i="4"/>
  <c r="F20" i="4"/>
  <c r="E20" i="4" s="1"/>
  <c r="E14" i="4"/>
  <c r="E16" i="4"/>
  <c r="E38" i="4"/>
  <c r="E40" i="4"/>
  <c r="E54" i="4"/>
  <c r="E70" i="4"/>
  <c r="E45" i="4"/>
  <c r="E61" i="4"/>
  <c r="E85" i="4"/>
  <c r="E87" i="4"/>
  <c r="E37" i="4"/>
  <c r="E39" i="4"/>
  <c r="E53" i="4"/>
  <c r="E55" i="4"/>
  <c r="E69" i="4"/>
  <c r="E71" i="4"/>
  <c r="E21" i="4"/>
  <c r="E32" i="4"/>
  <c r="E6" i="4"/>
  <c r="F12" i="4"/>
  <c r="E12" i="4" s="1"/>
  <c r="E23" i="4"/>
  <c r="E59" i="4"/>
  <c r="E75" i="4"/>
  <c r="E77" i="4"/>
  <c r="E29" i="4"/>
  <c r="E47" i="4"/>
  <c r="E63" i="4"/>
  <c r="E79" i="4"/>
  <c r="E31" i="4"/>
  <c r="F10" i="4"/>
  <c r="E10" i="4" s="1"/>
  <c r="E5" i="4"/>
  <c r="F4" i="4"/>
  <c r="E4" i="4" s="1"/>
  <c r="M93" i="3"/>
  <c r="I93" i="3"/>
  <c r="J93" i="3"/>
  <c r="L93" i="3"/>
  <c r="Q93" i="3"/>
  <c r="H93" i="3"/>
  <c r="P93" i="3"/>
  <c r="G93" i="3"/>
  <c r="O93" i="3"/>
  <c r="F93" i="3"/>
  <c r="U93" i="3"/>
  <c r="T93" i="3"/>
  <c r="E12" i="3"/>
  <c r="E92" i="3"/>
  <c r="E85" i="3"/>
  <c r="E84" i="3"/>
  <c r="E88" i="3"/>
  <c r="E87" i="3"/>
  <c r="E86" i="3"/>
  <c r="E89" i="3"/>
  <c r="E81" i="3"/>
  <c r="E80" i="3"/>
  <c r="E79" i="3"/>
  <c r="E72" i="3"/>
  <c r="E70" i="3"/>
  <c r="E91" i="3"/>
  <c r="E83" i="3"/>
  <c r="E90" i="3"/>
  <c r="E82" i="3"/>
  <c r="E69" i="3"/>
  <c r="E67" i="3"/>
  <c r="E65" i="3"/>
  <c r="E64" i="3"/>
  <c r="E71" i="3"/>
  <c r="E74" i="3"/>
  <c r="E68" i="3"/>
  <c r="E66" i="3"/>
  <c r="E75" i="3"/>
  <c r="E73" i="3"/>
  <c r="E62" i="3"/>
  <c r="E61" i="3"/>
  <c r="E63" i="3"/>
  <c r="E76" i="3"/>
  <c r="E77" i="3"/>
  <c r="E38" i="3"/>
  <c r="E18" i="3"/>
  <c r="E52" i="3"/>
  <c r="E51" i="3"/>
  <c r="E49" i="3"/>
  <c r="E46" i="3"/>
  <c r="E50" i="3"/>
  <c r="E48" i="3"/>
  <c r="E47" i="3"/>
  <c r="E22" i="3"/>
  <c r="E14" i="3"/>
  <c r="E5" i="3"/>
  <c r="E13" i="3"/>
  <c r="E4" i="3"/>
  <c r="E35" i="3"/>
  <c r="E34" i="3"/>
  <c r="E60" i="3"/>
  <c r="E32" i="3"/>
  <c r="E24" i="3"/>
  <c r="E16" i="3"/>
  <c r="E7" i="3"/>
  <c r="E9" i="3"/>
  <c r="E59" i="3"/>
  <c r="E31" i="3"/>
  <c r="E15" i="3"/>
  <c r="E6" i="3"/>
  <c r="E57" i="3"/>
  <c r="E44" i="3"/>
  <c r="E58" i="3"/>
  <c r="E36" i="3"/>
  <c r="E40" i="3"/>
  <c r="E39" i="3"/>
  <c r="E42" i="3"/>
  <c r="E41" i="3"/>
  <c r="E53" i="3"/>
  <c r="E43" i="3"/>
  <c r="E37" i="3"/>
  <c r="E19" i="3"/>
  <c r="E10" i="3"/>
  <c r="E55" i="3"/>
  <c r="E54" i="3"/>
  <c r="E45" i="3"/>
  <c r="E56" i="3"/>
  <c r="E11" i="3"/>
  <c r="E78" i="3"/>
  <c r="E33" i="3"/>
  <c r="E25" i="3"/>
  <c r="E17" i="3"/>
  <c r="E8" i="3"/>
  <c r="E23" i="3"/>
  <c r="E30" i="3"/>
  <c r="E29" i="3"/>
  <c r="E21" i="3"/>
  <c r="E28" i="3"/>
  <c r="E27" i="3"/>
  <c r="E26" i="3"/>
  <c r="E20" i="3"/>
  <c r="D17" i="1"/>
  <c r="D18" i="1"/>
  <c r="F18" i="1"/>
  <c r="E19" i="1"/>
  <c r="E6" i="1"/>
  <c r="G6" i="1"/>
  <c r="H6" i="1" s="1"/>
  <c r="E12" i="1"/>
  <c r="I12" i="1"/>
  <c r="E13" i="1"/>
  <c r="E14" i="1"/>
  <c r="E15" i="1"/>
  <c r="G15" i="1"/>
  <c r="H15" i="1" s="1"/>
  <c r="E22" i="1"/>
  <c r="G23" i="1"/>
  <c r="D23" i="1" s="1"/>
  <c r="G24" i="1"/>
  <c r="D24" i="1" s="1"/>
  <c r="G25" i="1"/>
  <c r="D25" i="1" s="1"/>
  <c r="E27" i="1"/>
  <c r="E28" i="1"/>
  <c r="E29" i="1"/>
  <c r="G29" i="1"/>
  <c r="H29" i="1" s="1"/>
  <c r="G30" i="1"/>
  <c r="D30" i="1" s="1"/>
  <c r="G31" i="1"/>
  <c r="D31" i="1" s="1"/>
  <c r="G32" i="1"/>
  <c r="D32" i="1" s="1"/>
  <c r="I93" i="4" l="1"/>
  <c r="E92" i="4"/>
  <c r="E73" i="4"/>
  <c r="E60" i="4"/>
  <c r="E33" i="4"/>
  <c r="E68" i="4"/>
  <c r="E41" i="4"/>
  <c r="E36" i="4"/>
  <c r="E28" i="4"/>
  <c r="E44" i="4"/>
  <c r="H93" i="4"/>
  <c r="G93" i="4"/>
  <c r="F93" i="4"/>
  <c r="E93" i="3"/>
  <c r="D28" i="1"/>
  <c r="F28" i="1"/>
  <c r="D14" i="1"/>
  <c r="F14" i="1"/>
  <c r="D27" i="1"/>
  <c r="F27" i="1"/>
  <c r="D13" i="1"/>
  <c r="F13" i="1"/>
  <c r="F22" i="1"/>
  <c r="D22" i="1"/>
  <c r="D12" i="1"/>
  <c r="F12" i="1"/>
  <c r="D6" i="1"/>
  <c r="F6" i="1"/>
  <c r="D19" i="1"/>
  <c r="F19" i="1"/>
  <c r="D29" i="1"/>
  <c r="F29" i="1"/>
  <c r="D15" i="1"/>
  <c r="F15" i="1"/>
  <c r="H30" i="1"/>
  <c r="H24" i="1"/>
  <c r="H31" i="1"/>
  <c r="H25" i="1"/>
  <c r="H32" i="1"/>
  <c r="H23" i="1"/>
  <c r="E35" i="1"/>
  <c r="D35" i="1" s="1"/>
  <c r="E36" i="1"/>
  <c r="D36" i="1" s="1"/>
  <c r="E93" i="4" l="1"/>
</calcChain>
</file>

<file path=xl/sharedStrings.xml><?xml version="1.0" encoding="utf-8"?>
<sst xmlns="http://schemas.openxmlformats.org/spreadsheetml/2006/main" count="715" uniqueCount="191">
  <si>
    <t>Riiklik postkast 2.0</t>
  </si>
  <si>
    <t>mRIIK</t>
  </si>
  <si>
    <t>Tegevus</t>
  </si>
  <si>
    <t>Tööjõukulu</t>
  </si>
  <si>
    <t>Majandamiskulu (KM-ga)</t>
  </si>
  <si>
    <t>Investeering (KM-ga)</t>
  </si>
  <si>
    <t>2023 Summa kokku</t>
  </si>
  <si>
    <t>ATK Tiimi loomine</t>
  </si>
  <si>
    <t>Riigipilv 2.0</t>
  </si>
  <si>
    <t>Avalike Pilvede strateegia</t>
  </si>
  <si>
    <t>Riigi Piiratud võrgu alustaristu</t>
  </si>
  <si>
    <t>Riigi IAM</t>
  </si>
  <si>
    <t>CDOC2 - krüpteerimine Mobiil-ID ja Smart-IDga</t>
  </si>
  <si>
    <t>CDOC2.0 - Pikaajalise salastamise tugi - II etapp</t>
  </si>
  <si>
    <t>Arhiveerimise ajatempliga allkirja (LTA) vormingu tugi</t>
  </si>
  <si>
    <t>SDG: Piiriülese ligipääsu tagamine liikmesriikide teenustele ja tõenditele</t>
  </si>
  <si>
    <t>Digiriigi akadeemia teenuse osutamine ja arendamine</t>
  </si>
  <si>
    <t>Digiteadlikkuse kasvatamine</t>
  </si>
  <si>
    <t>Ühtse digiriigi inforuumi loomine</t>
  </si>
  <si>
    <t>Pädevuste ja digiriigi kogukonna arendamine</t>
  </si>
  <si>
    <t>Rohedigi</t>
  </si>
  <si>
    <t>Nr</t>
  </si>
  <si>
    <t>Tehnoloogilise võla likvideerimise jätkutööd</t>
  </si>
  <si>
    <t>Personaliseeritud ja proaktiivne iseteenindus</t>
  </si>
  <si>
    <t>Funktsioonide register</t>
  </si>
  <si>
    <t>Turuplats</t>
  </si>
  <si>
    <t>Häkatonid</t>
  </si>
  <si>
    <t>CERT-EE kogukonnaüritustega jätkamine</t>
  </si>
  <si>
    <t>Kratikava elluviimine asutuste toetamise läbi: kratitoe portfell</t>
  </si>
  <si>
    <t>Kratikava elluviimine KOVide toetamise läbi</t>
  </si>
  <si>
    <t>Keeletehnoloogia kratijuppide arendused ja analüüsid</t>
  </si>
  <si>
    <t>Andmete teabevärava ja andmehalduse töövahendite kliendikeskne pakkumine (1FTE)</t>
  </si>
  <si>
    <t>Koolitused ja üritused</t>
  </si>
  <si>
    <t xml:space="preserve">Andmemajanduse turuväärtuse hindamise metoodika koostamine ja hinnangu läbiviimine </t>
  </si>
  <si>
    <t>Asutus</t>
  </si>
  <si>
    <t>RIA</t>
  </si>
  <si>
    <t>RIT</t>
  </si>
  <si>
    <t>MKM</t>
  </si>
  <si>
    <t>Digitipud 2.0</t>
  </si>
  <si>
    <t>Artiklivaramu üleriikliku juurutamise analüüs</t>
  </si>
  <si>
    <t>Veera jätkuarendustööd</t>
  </si>
  <si>
    <t>Digikukru ärianalüüs ja arendus MVP,  mRiigi mobiilirakendusega liidestamise ja digitaalsete tõendite salvestamise tehnilise võimekuse loomine testkeskkonnas</t>
  </si>
  <si>
    <t>RIA iseteenindusportaal eID kesksete teenuste näitel - Etapp 1 (analüüsiprojekt)</t>
  </si>
  <si>
    <t>Investeering (ilma KM)</t>
  </si>
  <si>
    <t>Majandamiskulu (ilma KM)</t>
  </si>
  <si>
    <t>ETO/OTOde turvalisuse mõõtmine ja tõstmine</t>
  </si>
  <si>
    <t>Kogukonna taaskasutusteenuste teenusehaldur (+1FTE)</t>
  </si>
  <si>
    <t>LISA 3</t>
  </si>
  <si>
    <t>KOKKU</t>
  </si>
  <si>
    <t>Valdkond/osakond</t>
  </si>
  <si>
    <t>Riigipilv 2.0​</t>
  </si>
  <si>
    <t>Avalik Pilv​</t>
  </si>
  <si>
    <t>Piiratud Võrk​</t>
  </si>
  <si>
    <t>Riigi IAM​</t>
  </si>
  <si>
    <t>Nutiseadmete haldus (AK mobiiltelefoni teenus)​</t>
  </si>
  <si>
    <t>ATK</t>
  </si>
  <si>
    <t>Arvutitöökoht</t>
  </si>
  <si>
    <t>Serverite alustaristu</t>
  </si>
  <si>
    <t>2024 lisanduv vajadus</t>
  </si>
  <si>
    <t>Turuplatsi platvormi arendamine</t>
  </si>
  <si>
    <t>Turuplatsi tööjõukulu</t>
  </si>
  <si>
    <t>Turuplatsi halduskulu</t>
  </si>
  <si>
    <t>2023 GO-otsused</t>
  </si>
  <si>
    <t>2023 GO otsusega summa, mis tuuakse üle 2024 aastasse (2023 aastal kasutamata vahendid)</t>
  </si>
  <si>
    <t>2024 kokku</t>
  </si>
  <si>
    <t>Inv.
(15)</t>
  </si>
  <si>
    <t>Inv.
(15)2</t>
  </si>
  <si>
    <t>Inv.
(15)3</t>
  </si>
  <si>
    <t>Inv.
(15)4</t>
  </si>
  <si>
    <t>Tööj.kulu
(50)</t>
  </si>
  <si>
    <t>Tööj.kulu
(50)2</t>
  </si>
  <si>
    <t>Tööj.kulu
(50)3</t>
  </si>
  <si>
    <t>Tööj.kulu
(50)4</t>
  </si>
  <si>
    <t xml:space="preserve">Maj.kulu
(55) </t>
  </si>
  <si>
    <t>Maj.kulu
(55) 2</t>
  </si>
  <si>
    <t>Maj.kulu
(55) 3</t>
  </si>
  <si>
    <t>Maj.kulu
(55) 4</t>
  </si>
  <si>
    <t>2023</t>
  </si>
  <si>
    <t>2024</t>
  </si>
  <si>
    <t>Koondsummad aastate lõikes</t>
  </si>
  <si>
    <t>2024 lisanduv</t>
  </si>
  <si>
    <t>Riigiportaali Talitus</t>
  </si>
  <si>
    <t>SF Tehnoloogilise võla likvideerimise jätkutööd​</t>
  </si>
  <si>
    <t>SF Personaliseeritud ja proaktiivne iseteenindus (investeeringud)​</t>
  </si>
  <si>
    <t>SF Veera kodulehe ajakohastamine ja analüüs, liikumaks Veera 2.0.0 peale ​</t>
  </si>
  <si>
    <t>PK 2.0 täisversiooni arendus (sh mRiik liidestused  jne) ​</t>
  </si>
  <si>
    <t>Postkast 2.0 MVP arendamine​</t>
  </si>
  <si>
    <t>SF Riiklik Postkast 2.0 turvatestimine​</t>
  </si>
  <si>
    <t>2024 
(2023 jätk)</t>
  </si>
  <si>
    <t>Summa kokku 
2023-2024</t>
  </si>
  <si>
    <t>Riikliku mobiilirakenduse arenduskulud</t>
  </si>
  <si>
    <t>Riikliku mobiilirakenduse Täiendavad analüüsid ja landingpage</t>
  </si>
  <si>
    <t>Riikliku mobiilirakenduse talitus</t>
  </si>
  <si>
    <t>Andmevahetuse osakond</t>
  </si>
  <si>
    <t>NT juriidilise isiku arendus</t>
  </si>
  <si>
    <t>Andmevahetuse realiseerimine Sipelga ja  EL Komisjoni ühiste komponentide vahel</t>
  </si>
  <si>
    <t>TõendiPistik mooduli ülesseadmine ja konfigureerimine</t>
  </si>
  <si>
    <t>eDelivery Access Pointi ülalpidamiskulud</t>
  </si>
  <si>
    <t>Access Pointi ja Siplega vahelise andmevahetuse realiseerimine</t>
  </si>
  <si>
    <t>Sipelga lisandväärtust pakkuvad arendused</t>
  </si>
  <si>
    <t>Sipelga päringumootori baasfunktsionaalsuste arendus</t>
  </si>
  <si>
    <t>Tõendi andmete vahendamise võimekuse loomine üle X-tee</t>
  </si>
  <si>
    <t>Tõendi profiili ja reeglite süsteemi loomine</t>
  </si>
  <si>
    <t>Eelvaateala lisafunktsionaalsuste ja esindusõiguste valimine</t>
  </si>
  <si>
    <t>Eelvaateala täisfunktsionaalsuste väljaarendamine kõigi tõenditüüpide jaoks</t>
  </si>
  <si>
    <t>Esmase tõendi eelvaateala funktsionaalsuste loomine</t>
  </si>
  <si>
    <t>PRIA</t>
  </si>
  <si>
    <t xml:space="preserve">SDG liidestused </t>
  </si>
  <si>
    <t>MEM (PTA jaoks)</t>
  </si>
  <si>
    <t>SMIT (SIMi jaoks)</t>
  </si>
  <si>
    <t>TTJA (MTR)</t>
  </si>
  <si>
    <t>TEHIK (SKA jaoks)</t>
  </si>
  <si>
    <t>TEHIK (Terviseameti jaoks)</t>
  </si>
  <si>
    <t>RMIT (eMTA jaoks)</t>
  </si>
  <si>
    <t>HTM</t>
  </si>
  <si>
    <t>Registrite valmisolek piiriüleseks andmevahetuseks</t>
  </si>
  <si>
    <t>Avaandmete teabevärava tööjõukulu​</t>
  </si>
  <si>
    <t>Koodivaramu tööjõukulu​</t>
  </si>
  <si>
    <t>eID osakond</t>
  </si>
  <si>
    <t>CDOC2 - krüpteerimine Mobiil-ID ja Smart-Idga (RAH-212)</t>
  </si>
  <si>
    <t>Projektijuht (CDOC, CDOC2 ja LTA)</t>
  </si>
  <si>
    <t>SF-CDOC2.0 - Pikaajalise salastamise tugi - II etapp (RAH 164)</t>
  </si>
  <si>
    <t xml:space="preserve">Digikukkur I etapp </t>
  </si>
  <si>
    <t>Digikukkur II etapp</t>
  </si>
  <si>
    <t xml:space="preserve">Digikukkur III etapp (allkirjastamisvõimekus) </t>
  </si>
  <si>
    <t>ID-kaardiga nutiseadmete veebilehitsejates NFCga autentimise ja allkirjastamise võimekuse tehnilise lähteülesande loomine</t>
  </si>
  <si>
    <t>ID-kaardiga nutiseadmete veebilehitsejates NFCga autentimise ja allkirjastamise võimekuse tehnilise lahenduse loomine ning eID ökosüsteemi integreerimine</t>
  </si>
  <si>
    <t>SF -Arhiveerimise ajatempliga allkirja (LTA) vormingu tugi</t>
  </si>
  <si>
    <t>RIA iseteenindusportaal eID kesksete teenuste näitel</t>
  </si>
  <si>
    <t>Järelvalve osakond</t>
  </si>
  <si>
    <t xml:space="preserve">Haldustööriista arendamine </t>
  </si>
  <si>
    <t xml:space="preserve">FESA/ECATS usaldusteenuse regulaatorasutuste töörühma korraldamine Eestis </t>
  </si>
  <si>
    <t>Kriitilise infrastuktuuri kaitse osakond</t>
  </si>
  <si>
    <t>KüTS subjektide turvatestimine  (SF)</t>
  </si>
  <si>
    <t>Teenused</t>
  </si>
  <si>
    <t>Teenuste ja digidisaini konsultatsiooni sisse ostmine</t>
  </si>
  <si>
    <t>Digidisainisüsteemide koosvõimelisuse arendamise võrgustikutöö</t>
  </si>
  <si>
    <t>Teenuste - ja disainikompetentsikeskuse käima lükkamine</t>
  </si>
  <si>
    <t>Võrgustikutöö (toitlustus, üritused, 6 kohtumist, 500 eur/tk)</t>
  </si>
  <si>
    <t>Tehnoloogia</t>
  </si>
  <si>
    <t>Arhitektuurinõukogu kohtumised</t>
  </si>
  <si>
    <t>Välislähetused</t>
  </si>
  <si>
    <t>Analüüsid</t>
  </si>
  <si>
    <t>TI avaliku sektori suuna elluviimine (majandamiskulud)</t>
  </si>
  <si>
    <t>TI avaliku sektori suuna elluviimine (personal)</t>
  </si>
  <si>
    <t>Ekilexi arenduse III etapp</t>
  </si>
  <si>
    <t>Tõlkevärava hooldustööd</t>
  </si>
  <si>
    <t>Andmekirjaoskuse koolitus ja kampaania</t>
  </si>
  <si>
    <t>Teavitus- ja kommunikatsioonitegevused</t>
  </si>
  <si>
    <t>Digiriigi Akadeemia uute e-kursuste raamleping</t>
  </si>
  <si>
    <t>Digitipud 2.0 koolituste ettevalmistamine ja läbiviimine</t>
  </si>
  <si>
    <t>Kesksete spetsialistidele suunatud koolituste ettevalmistamine ja läbiviimine</t>
  </si>
  <si>
    <t>Projektijuht (1 FTE)</t>
  </si>
  <si>
    <t>Häkatonide ja sümpoosionide ettevalmistamine ja läbiviimine</t>
  </si>
  <si>
    <t>Keskse IT-majade praktikaprogrammi ettevalmistamine ja läbiviimine</t>
  </si>
  <si>
    <t>Digiriigi Akadeemia platvormi haldus- ja arendus</t>
  </si>
  <si>
    <t>Koolitused, konsultatsioonid</t>
  </si>
  <si>
    <t>Rohedigi valdkonnajuht</t>
  </si>
  <si>
    <t>IT-juhtide metsaseminar</t>
  </si>
  <si>
    <t>Tippjuhtide digifoorum</t>
  </si>
  <si>
    <t>Sulg konkurss</t>
  </si>
  <si>
    <t>Erasektori kogukonnaprojekt (Telia Digital Hub)</t>
  </si>
  <si>
    <t>Riigi IT-teemaline podcast</t>
  </si>
  <si>
    <t>Võimekuse ja küpsuse hindamise metoodika</t>
  </si>
  <si>
    <t>Kommunikatsioonitegevused</t>
  </si>
  <si>
    <t>Digipöörete valdkonnajuht, Digiriigi arengu strateegiaekspert (2FTE)</t>
  </si>
  <si>
    <t>Andmed</t>
  </si>
  <si>
    <t>Oskused</t>
  </si>
  <si>
    <t>Raha</t>
  </si>
  <si>
    <t>Kogukond</t>
  </si>
  <si>
    <t>Kogukond/RIA</t>
  </si>
  <si>
    <t>Digipööre</t>
  </si>
  <si>
    <t>Hanke tehnilise toe ekspert,
Digivaldkonna eelarve ekspert (2 FTE)</t>
  </si>
  <si>
    <t>Uuring: (NIS2, DORA,GDPR) Õigusaktide rakendamiseks ühtse teavituskanali loomine. Teavituskohustuse lihtsustamine sihtrühmadele. Õigusliku raami uurimine ja ettepanekud rakenduskavaks</t>
  </si>
  <si>
    <t>Riikliku Küberturvalisuse Osakond</t>
  </si>
  <si>
    <t>Võrgustikutöö</t>
  </si>
  <si>
    <t>LISA 2</t>
  </si>
  <si>
    <t>EKI</t>
  </si>
  <si>
    <t>MEM</t>
  </si>
  <si>
    <t>Registrite valmisolek piiriüleseks andmevahetuseks  (PTA jaoks)</t>
  </si>
  <si>
    <t>Registrite valmisolek piiriüleseks andmevahetuseks (SIMi jaoks)</t>
  </si>
  <si>
    <t>Registrite valmisolek piiriüleseks andmevahetuseks (MTR)</t>
  </si>
  <si>
    <t>Registrite valmisolek piiriüleseks andmevahetuseks (SKA jaoks)</t>
  </si>
  <si>
    <t>Registrite valmisolek piiriüleseks andmevahetuseks (Terviseameti jaoks)</t>
  </si>
  <si>
    <t>SMIT</t>
  </si>
  <si>
    <t>TTJA</t>
  </si>
  <si>
    <t>TEHIK</t>
  </si>
  <si>
    <t>RMIT</t>
  </si>
  <si>
    <t>Registrite valmisolek piiriüleseks andmevahetuseks (eMTA jaoks)*</t>
  </si>
  <si>
    <t>Turuplatsi platvormi arendamine*</t>
  </si>
  <si>
    <t xml:space="preserve">*Rahastamisotsused tingimusega – 
RIT - Turuplatsi platvormi arendamine - koostada enne süsteemi arendamist ülevaade juba kasutada olevatest turuplatsi lahendustest ning EL ühishanke võimalustest ning esitada see asekantslerile kinnitamiseks
RMIT - Registrite valmisolek piiriüleseks andmevahetuseks (eMTA jaoks) - Tingimus on täidetud kui Rahandusministeeriumi Infotehnoloogiakeskus lisatakse käskkirja partnerina.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</si>
</sst>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2" formatCode="_-* #,##0\ &quot;€&quot;_-;\-* #,##0\ &quot;€&quot;_-;_-* &quot;-&quot;\ &quot;€&quot;_-;_-@_-"/>
    <numFmt numFmtId="164" formatCode="_-[$€-2]\ * #,##0_-;\-[$€-2]\ * #,##0_-;_-[$€-2]\ * &quot;-&quot;??_-;_-@_-"/>
    <numFmt numFmtId="165" formatCode="#,##0\ &quot;€&quot;"/>
  </numFmts>
  <fonts count="5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theme="4"/>
      </patternFill>
    </fill>
  </fills>
  <borders count="24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theme="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0" fillId="2" borderId="0" xfId="0" applyFill="1" applyAlignment="1">
      <alignment wrapText="1"/>
    </xf>
    <xf numFmtId="164" fontId="0" fillId="2" borderId="0" xfId="0" applyNumberFormat="1" applyFill="1"/>
    <xf numFmtId="0" fontId="0" fillId="2" borderId="0" xfId="0" applyFill="1"/>
    <xf numFmtId="164" fontId="1" fillId="2" borderId="0" xfId="0" applyNumberFormat="1" applyFont="1" applyFill="1"/>
    <xf numFmtId="164" fontId="1" fillId="3" borderId="0" xfId="0" applyNumberFormat="1" applyFont="1" applyFill="1"/>
    <xf numFmtId="164" fontId="0" fillId="3" borderId="0" xfId="0" applyNumberFormat="1" applyFill="1"/>
    <xf numFmtId="0" fontId="0" fillId="3" borderId="0" xfId="0" applyFill="1"/>
    <xf numFmtId="164" fontId="0" fillId="0" borderId="0" xfId="0" applyNumberFormat="1"/>
    <xf numFmtId="0" fontId="0" fillId="2" borderId="1" xfId="0" applyFill="1" applyBorder="1"/>
    <xf numFmtId="164" fontId="3" fillId="0" borderId="0" xfId="0" applyNumberFormat="1" applyFont="1"/>
    <xf numFmtId="164" fontId="0" fillId="0" borderId="2" xfId="0" applyNumberFormat="1" applyBorder="1"/>
    <xf numFmtId="0" fontId="0" fillId="0" borderId="2" xfId="0" applyBorder="1"/>
    <xf numFmtId="164" fontId="1" fillId="0" borderId="2" xfId="0" applyNumberFormat="1" applyFont="1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1" fillId="0" borderId="7" xfId="0" applyFont="1" applyBorder="1"/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 wrapText="1"/>
    </xf>
    <xf numFmtId="0" fontId="1" fillId="0" borderId="7" xfId="0" applyFont="1" applyBorder="1" applyAlignment="1">
      <alignment wrapText="1"/>
    </xf>
    <xf numFmtId="42" fontId="0" fillId="2" borderId="4" xfId="0" applyNumberFormat="1" applyFill="1" applyBorder="1"/>
    <xf numFmtId="42" fontId="0" fillId="2" borderId="7" xfId="0" applyNumberFormat="1" applyFill="1" applyBorder="1"/>
    <xf numFmtId="42" fontId="0" fillId="2" borderId="9" xfId="0" applyNumberFormat="1" applyFill="1" applyBorder="1"/>
    <xf numFmtId="42" fontId="0" fillId="2" borderId="10" xfId="0" applyNumberFormat="1" applyFill="1" applyBorder="1"/>
    <xf numFmtId="42" fontId="0" fillId="2" borderId="11" xfId="0" applyNumberFormat="1" applyFill="1" applyBorder="1"/>
    <xf numFmtId="42" fontId="0" fillId="2" borderId="12" xfId="0" applyNumberFormat="1" applyFill="1" applyBorder="1"/>
    <xf numFmtId="42" fontId="0" fillId="2" borderId="13" xfId="0" applyNumberFormat="1" applyFill="1" applyBorder="1"/>
    <xf numFmtId="42" fontId="0" fillId="2" borderId="15" xfId="0" applyNumberFormat="1" applyFill="1" applyBorder="1"/>
    <xf numFmtId="165" fontId="0" fillId="2" borderId="10" xfId="0" applyNumberFormat="1" applyFill="1" applyBorder="1"/>
    <xf numFmtId="165" fontId="0" fillId="2" borderId="10" xfId="0" applyNumberFormat="1" applyFill="1" applyBorder="1" applyAlignment="1">
      <alignment wrapText="1"/>
    </xf>
    <xf numFmtId="165" fontId="0" fillId="2" borderId="7" xfId="0" applyNumberFormat="1" applyFill="1" applyBorder="1"/>
    <xf numFmtId="165" fontId="0" fillId="2" borderId="13" xfId="0" applyNumberFormat="1" applyFill="1" applyBorder="1"/>
    <xf numFmtId="165" fontId="1" fillId="2" borderId="9" xfId="0" applyNumberFormat="1" applyFont="1" applyFill="1" applyBorder="1"/>
    <xf numFmtId="165" fontId="1" fillId="2" borderId="12" xfId="0" applyNumberFormat="1" applyFont="1" applyFill="1" applyBorder="1"/>
    <xf numFmtId="42" fontId="0" fillId="2" borderId="3" xfId="0" applyNumberFormat="1" applyFill="1" applyBorder="1"/>
    <xf numFmtId="165" fontId="0" fillId="2" borderId="15" xfId="0" applyNumberFormat="1" applyFill="1" applyBorder="1"/>
    <xf numFmtId="165" fontId="0" fillId="2" borderId="0" xfId="0" applyNumberFormat="1" applyFill="1"/>
    <xf numFmtId="165" fontId="0" fillId="2" borderId="4" xfId="0" applyNumberFormat="1" applyFill="1" applyBorder="1"/>
    <xf numFmtId="164" fontId="3" fillId="0" borderId="0" xfId="0" applyNumberFormat="1" applyFont="1" applyAlignment="1">
      <alignment wrapText="1"/>
    </xf>
    <xf numFmtId="165" fontId="0" fillId="0" borderId="4" xfId="0" applyNumberFormat="1" applyBorder="1"/>
    <xf numFmtId="0" fontId="4" fillId="4" borderId="6" xfId="0" applyFont="1" applyFill="1" applyBorder="1" applyAlignment="1">
      <alignment wrapText="1"/>
    </xf>
    <xf numFmtId="0" fontId="4" fillId="4" borderId="8" xfId="0" applyFont="1" applyFill="1" applyBorder="1"/>
    <xf numFmtId="0" fontId="4" fillId="4" borderId="8" xfId="0" applyFont="1" applyFill="1" applyBorder="1" applyAlignment="1">
      <alignment wrapText="1"/>
    </xf>
    <xf numFmtId="0" fontId="4" fillId="4" borderId="6" xfId="0" applyFont="1" applyFill="1" applyBorder="1" applyAlignment="1">
      <alignment horizontal="center" wrapText="1"/>
    </xf>
    <xf numFmtId="165" fontId="1" fillId="0" borderId="4" xfId="0" applyNumberFormat="1" applyFont="1" applyBorder="1"/>
    <xf numFmtId="0" fontId="1" fillId="0" borderId="2" xfId="0" applyFont="1" applyBorder="1"/>
    <xf numFmtId="0" fontId="1" fillId="0" borderId="16" xfId="0" applyFont="1" applyBorder="1" applyAlignment="1">
      <alignment horizontal="center" wrapText="1"/>
    </xf>
    <xf numFmtId="0" fontId="1" fillId="0" borderId="14" xfId="0" applyFont="1" applyBorder="1" applyAlignment="1">
      <alignment wrapText="1"/>
    </xf>
    <xf numFmtId="0" fontId="0" fillId="0" borderId="0" xfId="0" applyAlignment="1">
      <alignment wrapText="1"/>
    </xf>
    <xf numFmtId="165" fontId="1" fillId="2" borderId="9" xfId="0" applyNumberFormat="1" applyFont="1" applyFill="1" applyBorder="1" applyAlignment="1">
      <alignment vertical="top"/>
    </xf>
    <xf numFmtId="165" fontId="0" fillId="2" borderId="10" xfId="0" applyNumberFormat="1" applyFill="1" applyBorder="1" applyAlignment="1">
      <alignment vertical="top"/>
    </xf>
    <xf numFmtId="165" fontId="0" fillId="2" borderId="10" xfId="0" applyNumberFormat="1" applyFill="1" applyBorder="1" applyAlignment="1">
      <alignment vertical="top" wrapText="1"/>
    </xf>
    <xf numFmtId="165" fontId="0" fillId="2" borderId="17" xfId="0" applyNumberFormat="1" applyFill="1" applyBorder="1" applyAlignment="1">
      <alignment vertical="top"/>
    </xf>
    <xf numFmtId="42" fontId="0" fillId="2" borderId="11" xfId="0" applyNumberFormat="1" applyFill="1" applyBorder="1" applyAlignment="1">
      <alignment vertical="top"/>
    </xf>
    <xf numFmtId="42" fontId="0" fillId="2" borderId="19" xfId="0" applyNumberFormat="1" applyFill="1" applyBorder="1" applyAlignment="1">
      <alignment vertical="top"/>
    </xf>
    <xf numFmtId="42" fontId="0" fillId="2" borderId="18" xfId="0" applyNumberFormat="1" applyFill="1" applyBorder="1" applyAlignment="1">
      <alignment vertical="top"/>
    </xf>
    <xf numFmtId="165" fontId="1" fillId="2" borderId="12" xfId="0" applyNumberFormat="1" applyFont="1" applyFill="1" applyBorder="1" applyAlignment="1">
      <alignment vertical="top"/>
    </xf>
    <xf numFmtId="165" fontId="0" fillId="2" borderId="7" xfId="0" applyNumberFormat="1" applyFill="1" applyBorder="1" applyAlignment="1">
      <alignment vertical="top"/>
    </xf>
    <xf numFmtId="165" fontId="0" fillId="2" borderId="15" xfId="0" applyNumberFormat="1" applyFill="1" applyBorder="1" applyAlignment="1">
      <alignment vertical="top"/>
    </xf>
    <xf numFmtId="42" fontId="0" fillId="2" borderId="13" xfId="0" applyNumberFormat="1" applyFill="1" applyBorder="1" applyAlignment="1">
      <alignment vertical="top"/>
    </xf>
    <xf numFmtId="42" fontId="0" fillId="2" borderId="20" xfId="0" applyNumberFormat="1" applyFill="1" applyBorder="1" applyAlignment="1">
      <alignment vertical="top"/>
    </xf>
    <xf numFmtId="164" fontId="0" fillId="0" borderId="0" xfId="0" applyNumberFormat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vertical="top"/>
    </xf>
    <xf numFmtId="164" fontId="3" fillId="0" borderId="0" xfId="0" applyNumberFormat="1" applyFont="1" applyAlignment="1">
      <alignment vertical="top"/>
    </xf>
    <xf numFmtId="164" fontId="3" fillId="0" borderId="0" xfId="0" applyNumberFormat="1" applyFont="1" applyAlignment="1">
      <alignment vertical="top" wrapText="1"/>
    </xf>
    <xf numFmtId="0" fontId="0" fillId="2" borderId="0" xfId="0" applyFill="1" applyAlignment="1">
      <alignment vertical="top" wrapText="1"/>
    </xf>
    <xf numFmtId="42" fontId="0" fillId="2" borderId="0" xfId="0" applyNumberFormat="1" applyFill="1" applyAlignment="1">
      <alignment vertical="top"/>
    </xf>
    <xf numFmtId="0" fontId="0" fillId="0" borderId="21" xfId="0" applyBorder="1"/>
    <xf numFmtId="0" fontId="0" fillId="0" borderId="22" xfId="0" applyBorder="1"/>
    <xf numFmtId="0" fontId="0" fillId="0" borderId="22" xfId="0" applyBorder="1" applyAlignment="1">
      <alignment wrapText="1"/>
    </xf>
    <xf numFmtId="0" fontId="0" fillId="0" borderId="23" xfId="0" applyBorder="1" applyAlignment="1">
      <alignment wrapText="1"/>
    </xf>
    <xf numFmtId="0" fontId="0" fillId="3" borderId="0" xfId="0" applyFill="1" applyAlignment="1">
      <alignment vertical="top" wrapText="1"/>
    </xf>
    <xf numFmtId="165" fontId="1" fillId="3" borderId="12" xfId="0" applyNumberFormat="1" applyFont="1" applyFill="1" applyBorder="1" applyAlignment="1">
      <alignment vertical="top"/>
    </xf>
    <xf numFmtId="165" fontId="0" fillId="3" borderId="7" xfId="0" applyNumberFormat="1" applyFill="1" applyBorder="1" applyAlignment="1">
      <alignment vertical="top"/>
    </xf>
    <xf numFmtId="165" fontId="0" fillId="3" borderId="15" xfId="0" applyNumberFormat="1" applyFill="1" applyBorder="1" applyAlignment="1">
      <alignment vertical="top"/>
    </xf>
    <xf numFmtId="42" fontId="0" fillId="3" borderId="0" xfId="0" applyNumberFormat="1" applyFill="1" applyAlignment="1">
      <alignment vertical="top"/>
    </xf>
    <xf numFmtId="42" fontId="0" fillId="3" borderId="13" xfId="0" applyNumberFormat="1" applyFill="1" applyBorder="1" applyAlignment="1">
      <alignment vertical="top"/>
    </xf>
    <xf numFmtId="42" fontId="0" fillId="3" borderId="20" xfId="0" applyNumberFormat="1" applyFill="1" applyBorder="1" applyAlignment="1">
      <alignment vertical="top"/>
    </xf>
    <xf numFmtId="0" fontId="4" fillId="4" borderId="6" xfId="0" applyFont="1" applyFill="1" applyBorder="1" applyAlignment="1">
      <alignment vertical="top" wrapText="1"/>
    </xf>
    <xf numFmtId="0" fontId="4" fillId="4" borderId="8" xfId="0" applyFont="1" applyFill="1" applyBorder="1" applyAlignment="1">
      <alignment vertical="top"/>
    </xf>
    <xf numFmtId="0" fontId="4" fillId="4" borderId="8" xfId="0" applyFont="1" applyFill="1" applyBorder="1" applyAlignment="1">
      <alignment vertical="top" wrapText="1"/>
    </xf>
    <xf numFmtId="0" fontId="4" fillId="4" borderId="6" xfId="0" applyFont="1" applyFill="1" applyBorder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0" xfId="0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3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7" xfId="0" applyBorder="1" applyAlignment="1">
      <alignment horizontal="center" wrapText="1"/>
    </xf>
  </cellXfs>
  <cellStyles count="1">
    <cellStyle name="Normaallaad" xfId="0" builtinId="0"/>
  </cellStyles>
  <dxfs count="54">
    <dxf>
      <numFmt numFmtId="32" formatCode="_-* #,##0\ &quot;€&quot;_-;\-* #,##0\ &quot;€&quot;_-;_-* &quot;-&quot;\ &quot;€&quot;_-;_-@_-"/>
      <fill>
        <patternFill patternType="solid">
          <fgColor indexed="64"/>
          <bgColor rgb="FF92D050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horizontal/>
      </border>
    </dxf>
    <dxf>
      <numFmt numFmtId="32" formatCode="_-* #,##0\ &quot;€&quot;_-;\-* #,##0\ &quot;€&quot;_-;_-* &quot;-&quot;\ &quot;€&quot;_-;_-@_-"/>
      <fill>
        <patternFill patternType="solid">
          <fgColor indexed="64"/>
          <bgColor rgb="FF92D050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horizontal/>
      </border>
    </dxf>
    <dxf>
      <numFmt numFmtId="32" formatCode="_-* #,##0\ &quot;€&quot;_-;\-* #,##0\ &quot;€&quot;_-;_-* &quot;-&quot;\ &quot;€&quot;_-;_-@_-"/>
      <fill>
        <patternFill patternType="solid">
          <fgColor indexed="64"/>
          <bgColor rgb="FF92D050"/>
        </patternFill>
      </fill>
      <border diagonalUp="0" diagonalDown="0">
        <left style="thick">
          <color indexed="64"/>
        </left>
        <right style="thin">
          <color indexed="64"/>
        </right>
        <top/>
        <bottom/>
        <horizontal/>
      </border>
    </dxf>
    <dxf>
      <numFmt numFmtId="32" formatCode="_-* #,##0\ &quot;€&quot;_-;\-* #,##0\ &quot;€&quot;_-;_-* &quot;-&quot;\ &quot;€&quot;_-;_-@_-"/>
      <fill>
        <patternFill patternType="solid">
          <fgColor indexed="64"/>
          <bgColor rgb="FF92D050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horizontal/>
      </border>
    </dxf>
    <dxf>
      <numFmt numFmtId="32" formatCode="_-* #,##0\ &quot;€&quot;_-;\-* #,##0\ &quot;€&quot;_-;_-* &quot;-&quot;\ &quot;€&quot;_-;_-@_-"/>
      <fill>
        <patternFill patternType="solid">
          <fgColor indexed="64"/>
          <bgColor rgb="FF92D050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horizontal/>
      </border>
    </dxf>
    <dxf>
      <numFmt numFmtId="32" formatCode="_-* #,##0\ &quot;€&quot;_-;\-* #,##0\ &quot;€&quot;_-;_-* &quot;-&quot;\ &quot;€&quot;_-;_-@_-"/>
      <fill>
        <patternFill patternType="solid">
          <fgColor indexed="64"/>
          <bgColor rgb="FF92D050"/>
        </patternFill>
      </fill>
      <border diagonalUp="0" diagonalDown="0">
        <left style="thick">
          <color indexed="64"/>
        </left>
        <right style="thin">
          <color indexed="64"/>
        </right>
        <top/>
        <bottom/>
        <horizontal/>
      </border>
    </dxf>
    <dxf>
      <numFmt numFmtId="32" formatCode="_-* #,##0\ &quot;€&quot;_-;\-* #,##0\ &quot;€&quot;_-;_-* &quot;-&quot;\ &quot;€&quot;_-;_-@_-"/>
      <fill>
        <patternFill patternType="solid">
          <fgColor indexed="64"/>
          <bgColor rgb="FF92D050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horizontal/>
      </border>
    </dxf>
    <dxf>
      <numFmt numFmtId="32" formatCode="_-* #,##0\ &quot;€&quot;_-;\-* #,##0\ &quot;€&quot;_-;_-* &quot;-&quot;\ &quot;€&quot;_-;_-@_-"/>
      <fill>
        <patternFill patternType="solid">
          <fgColor indexed="64"/>
          <bgColor rgb="FF92D050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horizontal/>
      </border>
    </dxf>
    <dxf>
      <numFmt numFmtId="32" formatCode="_-* #,##0\ &quot;€&quot;_-;\-* #,##0\ &quot;€&quot;_-;_-* &quot;-&quot;\ &quot;€&quot;_-;_-@_-"/>
      <fill>
        <patternFill patternType="solid">
          <fgColor indexed="64"/>
          <bgColor rgb="FF92D050"/>
        </patternFill>
      </fill>
      <border diagonalUp="0" diagonalDown="0">
        <left style="thick">
          <color indexed="64"/>
        </left>
        <right style="thin">
          <color indexed="64"/>
        </right>
        <top/>
        <bottom/>
        <horizontal/>
      </border>
    </dxf>
    <dxf>
      <numFmt numFmtId="32" formatCode="_-* #,##0\ &quot;€&quot;_-;\-* #,##0\ &quot;€&quot;_-;_-* &quot;-&quot;\ &quot;€&quot;_-;_-@_-"/>
      <fill>
        <patternFill patternType="solid">
          <fgColor indexed="64"/>
          <bgColor rgb="FF92D050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horizontal/>
      </border>
    </dxf>
    <dxf>
      <numFmt numFmtId="32" formatCode="_-* #,##0\ &quot;€&quot;_-;\-* #,##0\ &quot;€&quot;_-;_-* &quot;-&quot;\ &quot;€&quot;_-;_-@_-"/>
      <fill>
        <patternFill patternType="solid">
          <fgColor indexed="64"/>
          <bgColor rgb="FF92D050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horizontal/>
      </border>
    </dxf>
    <dxf>
      <numFmt numFmtId="32" formatCode="_-* #,##0\ &quot;€&quot;_-;\-* #,##0\ &quot;€&quot;_-;_-* &quot;-&quot;\ &quot;€&quot;_-;_-@_-"/>
      <fill>
        <patternFill patternType="solid">
          <fgColor indexed="64"/>
          <bgColor rgb="FF92D050"/>
        </patternFill>
      </fill>
      <border diagonalUp="0" diagonalDown="0">
        <left style="thick">
          <color indexed="64"/>
        </left>
        <right style="thin">
          <color indexed="64"/>
        </right>
        <top/>
        <bottom/>
        <horizontal/>
      </border>
    </dxf>
    <dxf>
      <numFmt numFmtId="165" formatCode="#,##0\ &quot;€&quot;"/>
      <fill>
        <patternFill patternType="solid">
          <fgColor indexed="64"/>
          <bgColor rgb="FF92D050"/>
        </patternFill>
      </fill>
      <border diagonalUp="0" diagonalDown="0">
        <right style="thin">
          <color indexed="64"/>
        </right>
        <top/>
        <bottom/>
        <vertical/>
        <horizontal/>
      </border>
    </dxf>
    <dxf>
      <numFmt numFmtId="165" formatCode="#,##0\ &quot;€&quot;"/>
      <fill>
        <patternFill patternType="solid">
          <fgColor indexed="64"/>
          <bgColor rgb="FF92D050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65" formatCode="#,##0\ &quot;€&quot;"/>
      <fill>
        <patternFill patternType="solid">
          <fgColor indexed="64"/>
          <bgColor rgb="FF92D050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65" formatCode="#,##0\ &quot;€&quot;"/>
      <fill>
        <patternFill patternType="solid">
          <fgColor indexed="64"/>
          <bgColor rgb="FF92D050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b/>
      </font>
      <numFmt numFmtId="165" formatCode="#,##0\ &quot;€&quot;"/>
      <fill>
        <patternFill patternType="solid">
          <fgColor indexed="64"/>
          <bgColor rgb="FF92D050"/>
        </patternFill>
      </fill>
      <border diagonalUp="0" diagonalDown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4" formatCode="_-[$€-2]\ * #,##0_-;\-[$€-2]\ * #,##0_-;_-[$€-2]\ * &quot;-&quot;??_-;_-@_-"/>
    </dxf>
    <dxf>
      <numFmt numFmtId="164" formatCode="_-[$€-2]\ * #,##0_-;\-[$€-2]\ * #,##0_-;_-[$€-2]\ * &quot;-&quot;??_-;_-@_-"/>
    </dxf>
    <dxf>
      <numFmt numFmtId="164" formatCode="_-[$€-2]\ * #,##0_-;\-[$€-2]\ * #,##0_-;_-[$€-2]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</dxf>
    <dxf>
      <numFmt numFmtId="164" formatCode="_-[$€-2]\ * #,##0_-;\-[$€-2]\ * #,##0_-;_-[$€-2]\ * &quot;-&quot;??_-;_-@_-"/>
    </dxf>
    <dxf>
      <numFmt numFmtId="164" formatCode="_-[$€-2]\ * #,##0_-;\-[$€-2]\ * #,##0_-;_-[$€-2]\ * &quot;-&quot;??_-;_-@_-"/>
    </dxf>
    <dxf>
      <numFmt numFmtId="164" formatCode="_-[$€-2]\ * #,##0_-;\-[$€-2]\ * #,##0_-;_-[$€-2]\ * &quot;-&quot;??_-;_-@_-"/>
    </dxf>
    <dxf>
      <numFmt numFmtId="164" formatCode="_-[$€-2]\ * #,##0_-;\-[$€-2]\ * #,##0_-;_-[$€-2]\ * &quot;-&quot;??_-;_-@_-"/>
    </dxf>
    <dxf>
      <numFmt numFmtId="164" formatCode="_-[$€-2]\ * #,##0_-;\-[$€-2]\ * #,##0_-;_-[$€-2]\ * &quot;-&quot;??_-;_-@_-"/>
    </dxf>
    <dxf>
      <font>
        <b/>
      </font>
      <numFmt numFmtId="164" formatCode="_-[$€-2]\ * #,##0_-;\-[$€-2]\ * #,##0_-;_-[$€-2]\ * &quot;-&quot;??_-;_-@_-"/>
    </dxf>
    <dxf>
      <numFmt numFmtId="164" formatCode="_-[$€-2]\ * #,##0_-;\-[$€-2]\ * #,##0_-;_-[$€-2]\ * &quot;-&quot;??_-;_-@_-"/>
    </dxf>
    <dxf>
      <numFmt numFmtId="164" formatCode="_-[$€-2]\ * #,##0_-;\-[$€-2]\ * #,##0_-;_-[$€-2]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</dxf>
    <dxf>
      <numFmt numFmtId="32" formatCode="_-* #,##0\ &quot;€&quot;_-;\-* #,##0\ &quot;€&quot;_-;_-* &quot;-&quot;\ &quot;€&quot;_-;_-@_-"/>
      <fill>
        <patternFill patternType="solid">
          <fgColor indexed="64"/>
          <bgColor rgb="FF92D050"/>
        </patternFill>
      </fill>
      <alignment horizontal="general" vertical="top" textRotation="0" indent="0" justifyLastLine="0" shrinkToFit="0" readingOrder="0"/>
    </dxf>
    <dxf>
      <numFmt numFmtId="32" formatCode="_-* #,##0\ &quot;€&quot;_-;\-* #,##0\ &quot;€&quot;_-;_-* &quot;-&quot;\ &quot;€&quot;_-;_-@_-"/>
      <fill>
        <patternFill patternType="solid">
          <fgColor indexed="64"/>
          <bgColor rgb="FF92D050"/>
        </patternFill>
      </fill>
      <alignment horizontal="general" vertical="top" textRotation="0" indent="0" justifyLastLine="0" shrinkToFit="0" readingOrder="0"/>
    </dxf>
    <dxf>
      <numFmt numFmtId="32" formatCode="_-* #,##0\ &quot;€&quot;_-;\-* #,##0\ &quot;€&quot;_-;_-* &quot;-&quot;\ &quot;€&quot;_-;_-@_-"/>
      <fill>
        <patternFill patternType="solid">
          <fgColor indexed="64"/>
          <bgColor rgb="FF92D050"/>
        </patternFill>
      </fill>
      <alignment horizontal="general" vertical="top" textRotation="0" indent="0" justifyLastLine="0" shrinkToFit="0" readingOrder="0"/>
      <border diagonalUp="0" diagonalDown="0">
        <left style="thick">
          <color indexed="64"/>
        </left>
        <right/>
        <top/>
        <bottom/>
      </border>
    </dxf>
    <dxf>
      <numFmt numFmtId="32" formatCode="_-* #,##0\ &quot;€&quot;_-;\-* #,##0\ &quot;€&quot;_-;_-* &quot;-&quot;\ &quot;€&quot;_-;_-@_-"/>
      <fill>
        <patternFill patternType="solid">
          <fgColor indexed="64"/>
          <bgColor rgb="FF92D050"/>
        </patternFill>
      </fill>
      <alignment horizontal="general" vertical="top" textRotation="0" indent="0" justifyLastLine="0" shrinkToFit="0" readingOrder="0"/>
      <border diagonalUp="0" diagonalDown="0">
        <left/>
        <right style="thick">
          <color indexed="64"/>
        </right>
        <top/>
        <bottom/>
      </border>
    </dxf>
    <dxf>
      <numFmt numFmtId="32" formatCode="_-* #,##0\ &quot;€&quot;_-;\-* #,##0\ &quot;€&quot;_-;_-* &quot;-&quot;\ &quot;€&quot;_-;_-@_-"/>
      <fill>
        <patternFill patternType="solid">
          <fgColor indexed="64"/>
          <bgColor rgb="FF92D050"/>
        </patternFill>
      </fill>
      <alignment horizontal="general" vertical="top" textRotation="0" indent="0" justifyLastLine="0" shrinkToFit="0" readingOrder="0"/>
    </dxf>
    <dxf>
      <numFmt numFmtId="32" formatCode="_-* #,##0\ &quot;€&quot;_-;\-* #,##0\ &quot;€&quot;_-;_-* &quot;-&quot;\ &quot;€&quot;_-;_-@_-"/>
      <fill>
        <patternFill patternType="solid">
          <fgColor indexed="64"/>
          <bgColor rgb="FF92D050"/>
        </patternFill>
      </fill>
      <alignment horizontal="general" vertical="top" textRotation="0" indent="0" justifyLastLine="0" shrinkToFit="0" readingOrder="0"/>
      <border diagonalUp="0" diagonalDown="0">
        <left style="thick">
          <color indexed="64"/>
        </left>
        <right/>
        <top/>
        <bottom/>
      </border>
    </dxf>
    <dxf>
      <numFmt numFmtId="32" formatCode="_-* #,##0\ &quot;€&quot;_-;\-* #,##0\ &quot;€&quot;_-;_-* &quot;-&quot;\ &quot;€&quot;_-;_-@_-"/>
      <fill>
        <patternFill patternType="solid">
          <fgColor indexed="64"/>
          <bgColor rgb="FF92D050"/>
        </patternFill>
      </fill>
      <alignment horizontal="general" vertical="top" textRotation="0" indent="0" justifyLastLine="0" shrinkToFit="0" readingOrder="0"/>
      <border diagonalUp="0" diagonalDown="0">
        <left/>
        <right style="thick">
          <color indexed="64"/>
        </right>
        <top/>
        <bottom/>
      </border>
    </dxf>
    <dxf>
      <numFmt numFmtId="32" formatCode="_-* #,##0\ &quot;€&quot;_-;\-* #,##0\ &quot;€&quot;_-;_-* &quot;-&quot;\ &quot;€&quot;_-;_-@_-"/>
      <fill>
        <patternFill patternType="solid">
          <fgColor indexed="64"/>
          <bgColor rgb="FF92D050"/>
        </patternFill>
      </fill>
      <alignment horizontal="general" vertical="top" textRotation="0" indent="0" justifyLastLine="0" shrinkToFit="0" readingOrder="0"/>
    </dxf>
    <dxf>
      <numFmt numFmtId="32" formatCode="_-* #,##0\ &quot;€&quot;_-;\-* #,##0\ &quot;€&quot;_-;_-* &quot;-&quot;\ &quot;€&quot;_-;_-@_-"/>
      <fill>
        <patternFill patternType="solid">
          <fgColor indexed="64"/>
          <bgColor rgb="FF92D050"/>
        </patternFill>
      </fill>
      <alignment horizontal="general" vertical="top" textRotation="0" indent="0" justifyLastLine="0" shrinkToFit="0" readingOrder="0"/>
      <border diagonalUp="0" diagonalDown="0">
        <left style="thick">
          <color indexed="64"/>
        </left>
        <right/>
        <top/>
        <bottom/>
      </border>
    </dxf>
    <dxf>
      <numFmt numFmtId="32" formatCode="_-* #,##0\ &quot;€&quot;_-;\-* #,##0\ &quot;€&quot;_-;_-* &quot;-&quot;\ &quot;€&quot;_-;_-@_-"/>
      <fill>
        <patternFill patternType="solid">
          <fgColor indexed="64"/>
          <bgColor rgb="FF92D050"/>
        </patternFill>
      </fill>
      <alignment horizontal="general" vertical="top" textRotation="0" indent="0" justifyLastLine="0" shrinkToFit="0" readingOrder="0"/>
      <border diagonalUp="0" diagonalDown="0">
        <left/>
        <right style="thick">
          <color indexed="64"/>
        </right>
        <top/>
        <bottom/>
      </border>
    </dxf>
    <dxf>
      <numFmt numFmtId="32" formatCode="_-* #,##0\ &quot;€&quot;_-;\-* #,##0\ &quot;€&quot;_-;_-* &quot;-&quot;\ &quot;€&quot;_-;_-@_-"/>
      <fill>
        <patternFill patternType="solid">
          <fgColor indexed="64"/>
          <bgColor rgb="FF92D050"/>
        </patternFill>
      </fill>
      <alignment horizontal="general"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numFmt numFmtId="32" formatCode="_-* #,##0\ &quot;€&quot;_-;\-* #,##0\ &quot;€&quot;_-;_-* &quot;-&quot;\ &quot;€&quot;_-;_-@_-"/>
      <fill>
        <patternFill patternType="solid">
          <fgColor indexed="64"/>
          <bgColor rgb="FF92D050"/>
        </patternFill>
      </fill>
      <alignment horizontal="general" vertical="top" textRotation="0" indent="0" justifyLastLine="0" shrinkToFit="0" readingOrder="0"/>
    </dxf>
    <dxf>
      <numFmt numFmtId="165" formatCode="#,##0\ &quot;€&quot;"/>
      <fill>
        <patternFill patternType="solid">
          <fgColor indexed="64"/>
          <bgColor rgb="FF92D050"/>
        </patternFill>
      </fill>
      <alignment horizontal="general" vertical="top" textRotation="0" indent="0" justifyLastLine="0" shrinkToFit="0" readingOrder="0"/>
      <border diagonalUp="0" diagonalDown="0">
        <left style="thin">
          <color indexed="64"/>
        </left>
        <right style="thick">
          <color indexed="64"/>
        </right>
        <top/>
        <bottom/>
      </border>
    </dxf>
    <dxf>
      <numFmt numFmtId="165" formatCode="#,##0\ &quot;€&quot;"/>
      <fill>
        <patternFill patternType="solid">
          <fgColor indexed="64"/>
          <bgColor rgb="FF92D050"/>
        </patternFill>
      </fill>
      <alignment horizontal="general" vertical="top" textRotation="0" indent="0" justifyLastLine="0" shrinkToFit="0" readingOrder="0"/>
      <border diagonalUp="0" diagonalDown="0">
        <left/>
        <right style="thin">
          <color indexed="64"/>
        </right>
        <top/>
        <bottom/>
      </border>
    </dxf>
    <dxf>
      <numFmt numFmtId="165" formatCode="#,##0\ &quot;€&quot;"/>
      <fill>
        <patternFill patternType="solid">
          <fgColor indexed="64"/>
          <bgColor rgb="FF92D050"/>
        </patternFill>
      </fill>
      <alignment horizontal="general" vertical="top" textRotation="0" indent="0" justifyLastLine="0" shrinkToFit="0" readingOrder="0"/>
      <border diagonalUp="0" diagonalDown="0">
        <left/>
        <right style="thin">
          <color indexed="64"/>
        </right>
        <top/>
        <bottom/>
      </border>
    </dxf>
    <dxf>
      <numFmt numFmtId="165" formatCode="#,##0\ &quot;€&quot;"/>
      <fill>
        <patternFill patternType="solid">
          <fgColor indexed="64"/>
          <bgColor rgb="FF92D050"/>
        </patternFill>
      </fill>
      <alignment horizontal="general" vertical="top" textRotation="0" indent="0" justifyLastLine="0" shrinkToFit="0" readingOrder="0"/>
      <border diagonalUp="0" diagonalDown="0">
        <left/>
        <right style="thin">
          <color indexed="64"/>
        </right>
        <top/>
        <bottom/>
      </border>
    </dxf>
    <dxf>
      <font>
        <b/>
      </font>
      <numFmt numFmtId="165" formatCode="#,##0\ &quot;€&quot;"/>
      <fill>
        <patternFill patternType="solid">
          <fgColor indexed="64"/>
          <bgColor rgb="FF92D050"/>
        </patternFill>
      </fill>
      <alignment horizontal="general" vertical="top" textRotation="0" indent="0" justifyLastLine="0" shrinkToFit="0" readingOrder="0"/>
      <border diagonalUp="0" diagonalDown="0">
        <left/>
        <right style="thin">
          <color indexed="64"/>
        </right>
        <top/>
        <bottom/>
      </border>
    </dxf>
    <dxf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4" formatCode="_-[$€-2]\ * #,##0_-;\-[$€-2]\ * #,##0_-;_-[$€-2]\ * &quot;-&quot;??_-;_-@_-"/>
      <alignment horizontal="general" vertical="top" textRotation="0" wrapText="1" indent="0" justifyLastLine="0" shrinkToFit="0" readingOrder="0"/>
    </dxf>
    <dxf>
      <numFmt numFmtId="164" formatCode="_-[$€-2]\ * #,##0_-;\-[$€-2]\ * #,##0_-;_-[$€-2]\ * &quot;-&quot;??_-;_-@_-"/>
      <alignment horizontal="general" vertical="top" textRotation="0" indent="0" justifyLastLine="0" shrinkToFit="0" readingOrder="0"/>
    </dxf>
    <dxf>
      <numFmt numFmtId="164" formatCode="_-[$€-2]\ * #,##0_-;\-[$€-2]\ * #,##0_-;_-[$€-2]\ * &quot;-&quot;??_-;_-@_-"/>
      <alignment horizontal="general" vertical="top" textRotation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</dxf>
  </dxfs>
  <tableStyles count="1" defaultTableStyle="TableStyleMedium2" defaultPivotStyle="PivotStyleLight16">
    <tableStyle name="Tabelilaad 1" pivot="0" count="0" xr9:uid="{1237793C-866D-4DEA-BF31-A638F71AF38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CE5456E-8E78-47F2-A9E1-C655E6089B74}" name="Tabel134" displayName="Tabel134" ref="A3:U92" totalsRowShown="0" headerRowDxfId="53" dataDxfId="52" tableBorderDxfId="51">
  <autoFilter ref="A3:U92" xr:uid="{A8B89308-A84E-42AE-9611-6EDDAFAE2F64}"/>
  <tableColumns count="21">
    <tableColumn id="6" xr3:uid="{8AF1601C-2911-40BD-AA62-710AE071BB7E}" name="Nr" dataDxfId="50"/>
    <tableColumn id="7" xr3:uid="{0560DE5E-C476-40D8-A73D-E538021DB1BE}" name="Asutus" dataDxfId="49"/>
    <tableColumn id="8" xr3:uid="{DA742466-8C7E-4D55-85A3-C8A5B786FE6E}" name="Valdkond/osakond" dataDxfId="48"/>
    <tableColumn id="1" xr3:uid="{39C85232-662A-45E3-88A7-621294567531}" name="Tegevus" dataDxfId="47"/>
    <tableColumn id="30" xr3:uid="{0C893E97-5F9F-451D-84D9-020670FD12F9}" name="Summa kokku _x000a_2023-2024" dataDxfId="46">
      <calculatedColumnFormula>SUM(Tabel134[[#This Row],[2023]]+Tabel134[[#This Row],[2024 lisanduv]])</calculatedColumnFormula>
    </tableColumn>
    <tableColumn id="29" xr3:uid="{2A156F2A-0D0C-4F8E-9879-B4DD0B2BBB33}" name="2023" dataDxfId="45">
      <calculatedColumnFormula>SUM(Tabel134[[#This Row],[Inv.
(15)]:[Maj.kulu
(55) ]])</calculatedColumnFormula>
    </tableColumn>
    <tableColumn id="32" xr3:uid="{297BEEF0-6A51-448D-A012-AA7AA9EA6BFD}" name="2024 _x000a_(2023 jätk)" dataDxfId="44">
      <calculatedColumnFormula>SUM(Tabel134[[#This Row],[Inv.
(15)2]:[Maj.kulu
(55) 2]])</calculatedColumnFormula>
    </tableColumn>
    <tableColumn id="31" xr3:uid="{60548294-5D72-4D9F-9EA3-2590DBD8EA19}" name="2024 lisanduv" dataDxfId="43">
      <calculatedColumnFormula>SUM(Tabel134[[#This Row],[Inv.
(15)3]:[Maj.kulu
(55) 3]])</calculatedColumnFormula>
    </tableColumn>
    <tableColumn id="28" xr3:uid="{2FADC6AE-A7E1-41F7-BF81-6D2D1F8016A7}" name="2024" dataDxfId="42">
      <calculatedColumnFormula>SUM(Tabel134[[#This Row],[Inv.
(15)4]:[Maj.kulu
(55) 4]])</calculatedColumnFormula>
    </tableColumn>
    <tableColumn id="16" xr3:uid="{0593E4AD-2DE0-4525-8969-23C69BD8FBA9}" name="Inv._x000a_(15)" dataDxfId="41">
      <calculatedColumnFormula>Tabel13[[#This Row],[Inv.
(15)]]*1.2</calculatedColumnFormula>
    </tableColumn>
    <tableColumn id="15" xr3:uid="{9E6A46E6-2814-416A-A17A-4AAAAEB985D7}" name="Tööj.kulu_x000a_(50)" dataDxfId="40">
      <calculatedColumnFormula>Tabel13[[#This Row],[Tööj.kulu
(50)]]</calculatedColumnFormula>
    </tableColumn>
    <tableColumn id="14" xr3:uid="{D8AA85AF-2D05-47E5-8A71-CF825AC770CD}" name="Maj.kulu_x000a_(55) " dataDxfId="39">
      <calculatedColumnFormula>Tabel13[[#This Row],[Maj.kulu
(55) ]]*1.2</calculatedColumnFormula>
    </tableColumn>
    <tableColumn id="19" xr3:uid="{A35B9894-C0E4-41AE-976A-BF3FA4A69813}" name="Inv._x000a_(15)2" dataDxfId="38">
      <calculatedColumnFormula>Tabel13[[#This Row],[Inv.
(15)2]]*1.2</calculatedColumnFormula>
    </tableColumn>
    <tableColumn id="18" xr3:uid="{42F8C37A-E7D3-4F7C-B6A5-187312DACFBA}" name="Tööj.kulu_x000a_(50)2" dataDxfId="37">
      <calculatedColumnFormula>Tabel13[[#This Row],[Tööj.kulu
(50)2]]</calculatedColumnFormula>
    </tableColumn>
    <tableColumn id="17" xr3:uid="{7CDFF764-4C93-4141-AD2F-30783BC37365}" name="Maj.kulu_x000a_(55) 2" dataDxfId="36">
      <calculatedColumnFormula>Tabel13[[#This Row],[Maj.kulu
(55) 2]]*1.2</calculatedColumnFormula>
    </tableColumn>
    <tableColumn id="22" xr3:uid="{882238CB-414F-40AA-BA0B-4AC6EADC058C}" name="Inv._x000a_(15)3" dataDxfId="35">
      <calculatedColumnFormula>Tabel13[[#This Row],[Inv.
(15)3]]*1.22</calculatedColumnFormula>
    </tableColumn>
    <tableColumn id="21" xr3:uid="{9946AE81-AEF3-4B3F-B1D5-4CA09F0A24A7}" name="Tööj.kulu_x000a_(50)3" dataDxfId="34">
      <calculatedColumnFormula>Tabel13[[#This Row],[Tööj.kulu
(50)3]]</calculatedColumnFormula>
    </tableColumn>
    <tableColumn id="20" xr3:uid="{2DF1D1C0-5990-421D-8E4A-797F1EA0961B}" name="Maj.kulu_x000a_(55) 3" dataDxfId="33">
      <calculatedColumnFormula>Tabel13[[#This Row],[Maj.kulu
(55) 3]]*1.22</calculatedColumnFormula>
    </tableColumn>
    <tableColumn id="25" xr3:uid="{132355F3-0FDC-44A9-8425-5770C7E5800A}" name="Inv._x000a_(15)4" dataDxfId="32">
      <calculatedColumnFormula>Tabel13[[#This Row],[Inv.
(15)4]]*1.22</calculatedColumnFormula>
    </tableColumn>
    <tableColumn id="24" xr3:uid="{5925CBB1-48C6-49F8-A999-48061FB3A9A3}" name="Tööj.kulu_x000a_(50)4" dataDxfId="31">
      <calculatedColumnFormula>Tabel13[[#This Row],[Tööj.kulu
(50)4]]</calculatedColumnFormula>
    </tableColumn>
    <tableColumn id="23" xr3:uid="{D10A3638-E066-4CFE-9F19-CAA57B93B449}" name="Maj.kulu_x000a_(55) 4" dataDxfId="30">
      <calculatedColumnFormula>Tabel13[[#This Row],[Maj.kulu
(55) 4]]*1.22</calculatedColumnFormula>
    </tableColumn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8B89308-A84E-42AE-9611-6EDDAFAE2F64}" name="Tabel1" displayName="Tabel1" ref="A2:I38" totalsRowShown="0" headerRowDxfId="29">
  <autoFilter ref="A2:I38" xr:uid="{A8B89308-A84E-42AE-9611-6EDDAFAE2F64}"/>
  <tableColumns count="9">
    <tableColumn id="6" xr3:uid="{EED72BB6-D7C9-4359-8601-939277962342}" name="Nr" dataDxfId="28"/>
    <tableColumn id="7" xr3:uid="{D16DB949-F9A4-44C3-B082-5F02C71A596C}" name="Asutus" dataDxfId="27"/>
    <tableColumn id="1" xr3:uid="{1F91CF18-9F15-4F2C-81CB-F586828A4BB4}" name="Tegevus"/>
    <tableColumn id="2" xr3:uid="{B24E1239-8282-4B44-B787-AB63585EDF6A}" name="2023 Summa kokku" dataDxfId="26">
      <calculatedColumnFormula>SUM(E3+G3+I3)</calculatedColumnFormula>
    </tableColumn>
    <tableColumn id="4" xr3:uid="{91E62955-98DA-4F34-B3CC-4505F6C5EDD7}" name="Investeering (KM-ga)" dataDxfId="25"/>
    <tableColumn id="9" xr3:uid="{F0B138E0-98B5-4466-B2DA-70C7B396FC0A}" name="Investeering (ilma KM)" dataDxfId="24">
      <calculatedColumnFormula>Tabel1[[#This Row],[Investeering (KM-ga)]]/1.2</calculatedColumnFormula>
    </tableColumn>
    <tableColumn id="5" xr3:uid="{A599A731-575C-4C54-BFAF-DEA9F689D9E7}" name="Majandamiskulu (KM-ga)" dataDxfId="23"/>
    <tableColumn id="10" xr3:uid="{30F2651A-9D84-4C35-BB35-083A2635701A}" name="Majandamiskulu (ilma KM)" dataDxfId="22">
      <calculatedColumnFormula>Tabel1[[#This Row],[Majandamiskulu (KM-ga)]]/1.2</calculatedColumnFormula>
    </tableColumn>
    <tableColumn id="3" xr3:uid="{F93F12BA-1C0A-4EE9-9B21-ABD0DE1E45E8}" name="Tööjõukulu" dataDxfId="21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8141086-D848-4E1D-B30C-955C8C028FE8}" name="Tabel13" displayName="Tabel13" ref="A3:U92" totalsRowShown="0" headerRowDxfId="20">
  <autoFilter ref="A3:U92" xr:uid="{A8B89308-A84E-42AE-9611-6EDDAFAE2F64}"/>
  <tableColumns count="21">
    <tableColumn id="6" xr3:uid="{79217346-AABB-4963-98F0-173DAE6583E1}" name="Nr" dataDxfId="19"/>
    <tableColumn id="7" xr3:uid="{63F80D78-405E-4A2F-BC1F-C25BE7CA548A}" name="Asutus" dataDxfId="18"/>
    <tableColumn id="8" xr3:uid="{7C152E43-491F-4C75-B295-37799E7D8F81}" name="Valdkond/osakond" dataDxfId="17"/>
    <tableColumn id="1" xr3:uid="{0B13182D-5067-40F8-8B25-8DBCD0E67D72}" name="Tegevus"/>
    <tableColumn id="30" xr3:uid="{17407774-64F2-4F8B-9530-186C4AC065E7}" name="Summa kokku _x000a_2023-2024" dataDxfId="16">
      <calculatedColumnFormula>SUM(Tabel13[[#This Row],[2023]]+Tabel13[[#This Row],[2024 lisanduv]])</calculatedColumnFormula>
    </tableColumn>
    <tableColumn id="29" xr3:uid="{BEA18165-6C0E-45EF-AA6B-1DB0C8D540FE}" name="2023" dataDxfId="15">
      <calculatedColumnFormula>SUM(Tabel13[[#This Row],[Inv.
(15)]:[Maj.kulu
(55) ]])</calculatedColumnFormula>
    </tableColumn>
    <tableColumn id="32" xr3:uid="{606C1761-7ACA-4D12-9F6D-7D73CC17182F}" name="2024 _x000a_(2023 jätk)" dataDxfId="14">
      <calculatedColumnFormula>SUM(Tabel13[[#This Row],[Inv.
(15)2]:[Maj.kulu
(55) 2]])</calculatedColumnFormula>
    </tableColumn>
    <tableColumn id="31" xr3:uid="{BDA03778-9C6F-47A1-8118-2DD11A4C2103}" name="2024 lisanduv" dataDxfId="13">
      <calculatedColumnFormula>SUM(Tabel13[[#This Row],[Inv.
(15)3]:[Maj.kulu
(55) 3]])</calculatedColumnFormula>
    </tableColumn>
    <tableColumn id="28" xr3:uid="{A38AD1AC-1F15-408A-8536-D00CA089C1AD}" name="2024" dataDxfId="12">
      <calculatedColumnFormula>SUM(Tabel13[[#This Row],[Inv.
(15)4]:[Maj.kulu
(55) 4]])</calculatedColumnFormula>
    </tableColumn>
    <tableColumn id="16" xr3:uid="{781203AA-5918-4ECD-9226-2B0ABF57E6FD}" name="Inv._x000a_(15)" dataDxfId="11"/>
    <tableColumn id="15" xr3:uid="{1196D5A9-B945-44D6-84A7-4CBF823CC79E}" name="Tööj.kulu_x000a_(50)" dataDxfId="10"/>
    <tableColumn id="14" xr3:uid="{968F30ED-2FC2-4E4C-814A-58D7CBA736E3}" name="Maj.kulu_x000a_(55) " dataDxfId="9"/>
    <tableColumn id="19" xr3:uid="{E86BC707-F5F4-44D1-80C3-31E3627390EF}" name="Inv._x000a_(15)2" dataDxfId="8"/>
    <tableColumn id="18" xr3:uid="{EDB2A51B-CDFC-4827-B43A-82BB2F0C6FA4}" name="Tööj.kulu_x000a_(50)2" dataDxfId="7"/>
    <tableColumn id="17" xr3:uid="{61EA70D9-162C-4F1E-9F97-7E78B5213545}" name="Maj.kulu_x000a_(55) 2" dataDxfId="6"/>
    <tableColumn id="22" xr3:uid="{63B01340-BAD1-4570-977E-6307B577EBF0}" name="Inv._x000a_(15)3" dataDxfId="5"/>
    <tableColumn id="21" xr3:uid="{2E1A0D96-AA44-4F5D-B003-413B455FD45A}" name="Tööj.kulu_x000a_(50)3" dataDxfId="4"/>
    <tableColumn id="20" xr3:uid="{26F79B12-155C-4207-8CC9-E33E687DFECB}" name="Maj.kulu_x000a_(55) 3" dataDxfId="3"/>
    <tableColumn id="25" xr3:uid="{01C31524-615D-45A7-A949-562161766916}" name="Inv._x000a_(15)4" dataDxfId="2"/>
    <tableColumn id="24" xr3:uid="{2F6DF8E0-BC10-4E86-8AE1-FFE356A1CD03}" name="Tööj.kulu_x000a_(50)4" dataDxfId="1"/>
    <tableColumn id="23" xr3:uid="{26D5D83F-AEAC-4362-8A46-0FEEAFF749BD}" name="Maj.kulu_x000a_(55) 4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6A032-14B6-40F4-AEFB-48F08EA2E922}">
  <dimension ref="A1:U104"/>
  <sheetViews>
    <sheetView tabSelected="1" zoomScale="85" zoomScaleNormal="85" workbookViewId="0">
      <selection activeCell="B105" sqref="B105"/>
    </sheetView>
  </sheetViews>
  <sheetFormatPr defaultRowHeight="15" x14ac:dyDescent="0.25"/>
  <cols>
    <col min="1" max="1" width="6.5703125" customWidth="1"/>
    <col min="2" max="2" width="9.42578125" bestFit="1" customWidth="1"/>
    <col min="3" max="3" width="26" style="50" customWidth="1"/>
    <col min="4" max="4" width="40.7109375" style="50" customWidth="1"/>
    <col min="5" max="5" width="11.7109375" style="15" customWidth="1"/>
    <col min="6" max="6" width="11.42578125" style="17" bestFit="1" customWidth="1"/>
    <col min="7" max="7" width="13.42578125" style="17" bestFit="1" customWidth="1"/>
    <col min="8" max="9" width="12.42578125" style="17" bestFit="1" customWidth="1"/>
    <col min="10" max="10" width="11.42578125" style="15" bestFit="1" customWidth="1"/>
    <col min="11" max="11" width="12" style="17" bestFit="1" customWidth="1"/>
    <col min="12" max="12" width="11.5703125" style="17" bestFit="1" customWidth="1"/>
    <col min="13" max="13" width="11.42578125" style="15" bestFit="1" customWidth="1"/>
    <col min="14" max="14" width="12" style="17" bestFit="1" customWidth="1"/>
    <col min="15" max="15" width="11.5703125" style="17" bestFit="1" customWidth="1"/>
    <col min="16" max="16" width="11.42578125" style="17" bestFit="1" customWidth="1"/>
    <col min="17" max="17" width="12" style="17" bestFit="1" customWidth="1"/>
    <col min="18" max="18" width="11.5703125" style="17" bestFit="1" customWidth="1"/>
    <col min="19" max="19" width="12.7109375" style="15" bestFit="1" customWidth="1"/>
    <col min="20" max="20" width="12" style="17" bestFit="1" customWidth="1"/>
    <col min="21" max="21" width="11.5703125" style="17" bestFit="1" customWidth="1"/>
    <col min="22" max="22" width="13.140625" customWidth="1"/>
  </cols>
  <sheetData>
    <row r="1" spans="1:21" x14ac:dyDescent="0.25">
      <c r="A1" t="s">
        <v>176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</row>
    <row r="2" spans="1:21" ht="48" customHeight="1" x14ac:dyDescent="0.25">
      <c r="A2" s="70"/>
      <c r="B2" s="71"/>
      <c r="C2" s="72"/>
      <c r="D2" s="73"/>
      <c r="E2" s="86" t="s">
        <v>79</v>
      </c>
      <c r="F2" s="87"/>
      <c r="G2" s="87"/>
      <c r="H2" s="87"/>
      <c r="I2" s="88"/>
      <c r="J2" s="86" t="s">
        <v>62</v>
      </c>
      <c r="K2" s="87"/>
      <c r="L2" s="88"/>
      <c r="M2" s="89" t="s">
        <v>63</v>
      </c>
      <c r="N2" s="90"/>
      <c r="O2" s="91"/>
      <c r="P2" s="89" t="s">
        <v>58</v>
      </c>
      <c r="Q2" s="90"/>
      <c r="R2" s="91"/>
      <c r="S2" s="89" t="s">
        <v>64</v>
      </c>
      <c r="T2" s="90"/>
      <c r="U2" s="91"/>
    </row>
    <row r="3" spans="1:21" ht="45.75" thickBot="1" x14ac:dyDescent="0.3">
      <c r="A3" s="1" t="s">
        <v>21</v>
      </c>
      <c r="B3" s="1" t="s">
        <v>34</v>
      </c>
      <c r="C3" s="64" t="s">
        <v>49</v>
      </c>
      <c r="D3" s="64" t="s">
        <v>2</v>
      </c>
      <c r="E3" s="19" t="s">
        <v>89</v>
      </c>
      <c r="F3" s="18" t="s">
        <v>77</v>
      </c>
      <c r="G3" s="21" t="s">
        <v>88</v>
      </c>
      <c r="H3" s="21" t="s">
        <v>80</v>
      </c>
      <c r="I3" s="18" t="s">
        <v>78</v>
      </c>
      <c r="J3" s="48" t="s">
        <v>65</v>
      </c>
      <c r="K3" s="49" t="s">
        <v>69</v>
      </c>
      <c r="L3" s="49" t="s">
        <v>73</v>
      </c>
      <c r="M3" s="20" t="s">
        <v>66</v>
      </c>
      <c r="N3" s="21" t="s">
        <v>70</v>
      </c>
      <c r="O3" s="21" t="s">
        <v>74</v>
      </c>
      <c r="P3" s="20" t="s">
        <v>67</v>
      </c>
      <c r="Q3" s="21" t="s">
        <v>71</v>
      </c>
      <c r="R3" s="21" t="s">
        <v>75</v>
      </c>
      <c r="S3" s="20" t="s">
        <v>68</v>
      </c>
      <c r="T3" s="21" t="s">
        <v>72</v>
      </c>
      <c r="U3" s="64" t="s">
        <v>76</v>
      </c>
    </row>
    <row r="4" spans="1:21" ht="15.75" thickTop="1" x14ac:dyDescent="0.25">
      <c r="A4" s="65">
        <v>36</v>
      </c>
      <c r="B4" s="66" t="s">
        <v>36</v>
      </c>
      <c r="C4" s="67" t="s">
        <v>56</v>
      </c>
      <c r="D4" s="68" t="s">
        <v>55</v>
      </c>
      <c r="E4" s="51">
        <f>SUM(Tabel134[[#This Row],[2023]]+Tabel134[[#This Row],[2024 lisanduv]])</f>
        <v>476500</v>
      </c>
      <c r="F4" s="52">
        <f>SUM(Tabel134[[#This Row],[Inv.
(15)]:[Maj.kulu
(55) ]])</f>
        <v>326500</v>
      </c>
      <c r="G4" s="52">
        <f>SUM(Tabel134[[#This Row],[Inv.
(15)2]:[Maj.kulu
(55) 2]])</f>
        <v>317806</v>
      </c>
      <c r="H4" s="53">
        <f>SUM(Tabel134[[#This Row],[Inv.
(15)3]:[Maj.kulu
(55) 3]])</f>
        <v>150000</v>
      </c>
      <c r="I4" s="54">
        <f>SUM(Tabel134[[#This Row],[Inv.
(15)4]:[Maj.kulu
(55) 4]])</f>
        <v>472061.1</v>
      </c>
      <c r="J4" s="69">
        <f>Tabel13[[#This Row],[Inv.
(15)]]*1.2</f>
        <v>72000</v>
      </c>
      <c r="K4" s="69">
        <f>Tabel13[[#This Row],[Tööj.kulu
(50)]]</f>
        <v>62500</v>
      </c>
      <c r="L4" s="55">
        <f>Tabel13[[#This Row],[Maj.kulu
(55) ]]*1.2</f>
        <v>192000</v>
      </c>
      <c r="M4" s="56">
        <f>Tabel13[[#This Row],[Inv.
(15)2]]*1.2</f>
        <v>72000</v>
      </c>
      <c r="N4" s="57">
        <f>Tabel13[[#This Row],[Tööj.kulu
(50)2]]</f>
        <v>62500</v>
      </c>
      <c r="O4" s="55">
        <f>Tabel13[[#This Row],[Maj.kulu
(55) 2]]*1.2</f>
        <v>183306</v>
      </c>
      <c r="P4" s="56">
        <f>Tabel13[[#This Row],[Inv.
(15)3]]*1.22</f>
        <v>0</v>
      </c>
      <c r="Q4" s="57">
        <f>Tabel13[[#This Row],[Tööj.kulu
(50)3]]</f>
        <v>150000</v>
      </c>
      <c r="R4" s="55">
        <f>Tabel13[[#This Row],[Maj.kulu
(55) 3]]*1.22</f>
        <v>0</v>
      </c>
      <c r="S4" s="56">
        <f>Tabel13[[#This Row],[Inv.
(15)4]]*1.22</f>
        <v>73200</v>
      </c>
      <c r="T4" s="57">
        <f>Tabel13[[#This Row],[Tööj.kulu
(50)4]]</f>
        <v>212500</v>
      </c>
      <c r="U4" s="57">
        <f>Tabel13[[#This Row],[Maj.kulu
(55) 4]]*1.22</f>
        <v>186361.1</v>
      </c>
    </row>
    <row r="5" spans="1:21" x14ac:dyDescent="0.25">
      <c r="A5" s="65">
        <v>37</v>
      </c>
      <c r="B5" s="66" t="s">
        <v>36</v>
      </c>
      <c r="C5" s="67" t="s">
        <v>57</v>
      </c>
      <c r="D5" s="68" t="s">
        <v>50</v>
      </c>
      <c r="E5" s="58">
        <f>SUM(Tabel134[[#This Row],[2023]]+Tabel134[[#This Row],[2024 lisanduv]])</f>
        <v>243100</v>
      </c>
      <c r="F5" s="59">
        <f>SUM(Tabel134[[#This Row],[Inv.
(15)]:[Maj.kulu
(55) ]])</f>
        <v>168100</v>
      </c>
      <c r="G5" s="59">
        <f>SUM(Tabel134[[#This Row],[Inv.
(15)2]:[Maj.kulu
(55) 2]])</f>
        <v>142195.4</v>
      </c>
      <c r="H5" s="59">
        <f>SUM(Tabel134[[#This Row],[Inv.
(15)3]:[Maj.kulu
(55) 3]])</f>
        <v>75000</v>
      </c>
      <c r="I5" s="60">
        <f>SUM(Tabel134[[#This Row],[Inv.
(15)4]:[Maj.kulu
(55) 4]])</f>
        <v>218737.74</v>
      </c>
      <c r="J5" s="69">
        <f>Tabel13[[#This Row],[Inv.
(15)]]*1.2</f>
        <v>0</v>
      </c>
      <c r="K5" s="69">
        <f>Tabel13[[#This Row],[Tööj.kulu
(50)]]</f>
        <v>62500</v>
      </c>
      <c r="L5" s="61">
        <f>Tabel13[[#This Row],[Maj.kulu
(55) ]]*1.2</f>
        <v>105600</v>
      </c>
      <c r="M5" s="62">
        <f>Tabel13[[#This Row],[Inv.
(15)2]]*1.2</f>
        <v>0</v>
      </c>
      <c r="N5" s="69">
        <f>Tabel13[[#This Row],[Tööj.kulu
(50)2]]</f>
        <v>49655</v>
      </c>
      <c r="O5" s="61">
        <f>Tabel13[[#This Row],[Maj.kulu
(55) 2]]*1.2</f>
        <v>92540.4</v>
      </c>
      <c r="P5" s="62">
        <f>Tabel13[[#This Row],[Inv.
(15)3]]*1.22</f>
        <v>0</v>
      </c>
      <c r="Q5" s="69">
        <f>Tabel13[[#This Row],[Tööj.kulu
(50)3]]</f>
        <v>75000</v>
      </c>
      <c r="R5" s="61">
        <f>Tabel13[[#This Row],[Maj.kulu
(55) 3]]*1.22</f>
        <v>0</v>
      </c>
      <c r="S5" s="62">
        <f>Tabel13[[#This Row],[Inv.
(15)4]]*1.22</f>
        <v>0</v>
      </c>
      <c r="T5" s="69">
        <f>Tabel13[[#This Row],[Tööj.kulu
(50)4]]</f>
        <v>124655</v>
      </c>
      <c r="U5" s="69">
        <f>Tabel13[[#This Row],[Maj.kulu
(55) 4]]*1.22</f>
        <v>94082.739999999991</v>
      </c>
    </row>
    <row r="6" spans="1:21" x14ac:dyDescent="0.25">
      <c r="A6" s="65">
        <v>38</v>
      </c>
      <c r="B6" s="66" t="s">
        <v>36</v>
      </c>
      <c r="C6" s="67" t="s">
        <v>57</v>
      </c>
      <c r="D6" s="68" t="s">
        <v>51</v>
      </c>
      <c r="E6" s="58">
        <f>SUM(Tabel134[[#This Row],[2023]]+Tabel134[[#This Row],[2024 lisanduv]])</f>
        <v>422500</v>
      </c>
      <c r="F6" s="59">
        <f>SUM(Tabel134[[#This Row],[Inv.
(15)]:[Maj.kulu
(55) ]])</f>
        <v>422500</v>
      </c>
      <c r="G6" s="59">
        <f>SUM(Tabel134[[#This Row],[Inv.
(15)2]:[Maj.kulu
(55) 2]])</f>
        <v>384918.8</v>
      </c>
      <c r="H6" s="59">
        <f>SUM(Tabel134[[#This Row],[Inv.
(15)3]:[Maj.kulu
(55) 3]])</f>
        <v>0</v>
      </c>
      <c r="I6" s="60">
        <f>SUM(Tabel134[[#This Row],[Inv.
(15)4]:[Maj.kulu
(55) 4]])</f>
        <v>390682.38</v>
      </c>
      <c r="J6" s="69">
        <f>Tabel13[[#This Row],[Inv.
(15)]]*1.2</f>
        <v>0</v>
      </c>
      <c r="K6" s="69">
        <f>Tabel13[[#This Row],[Tööj.kulu
(50)]]</f>
        <v>62500</v>
      </c>
      <c r="L6" s="61">
        <f>Tabel13[[#This Row],[Maj.kulu
(55) ]]*1.2</f>
        <v>360000</v>
      </c>
      <c r="M6" s="62">
        <f>Tabel13[[#This Row],[Inv.
(15)2]]*1.2</f>
        <v>0</v>
      </c>
      <c r="N6" s="69">
        <f>Tabel13[[#This Row],[Tööj.kulu
(50)2]]</f>
        <v>39104</v>
      </c>
      <c r="O6" s="61">
        <f>Tabel13[[#This Row],[Maj.kulu
(55) 2]]*1.2</f>
        <v>345814.8</v>
      </c>
      <c r="P6" s="62">
        <f>Tabel13[[#This Row],[Inv.
(15)3]]*1.22</f>
        <v>0</v>
      </c>
      <c r="Q6" s="69">
        <f>Tabel13[[#This Row],[Tööj.kulu
(50)3]]</f>
        <v>0</v>
      </c>
      <c r="R6" s="61">
        <f>Tabel13[[#This Row],[Maj.kulu
(55) 3]]*1.22</f>
        <v>0</v>
      </c>
      <c r="S6" s="62">
        <f>Tabel13[[#This Row],[Inv.
(15)4]]*1.22</f>
        <v>0</v>
      </c>
      <c r="T6" s="69">
        <f>Tabel13[[#This Row],[Tööj.kulu
(50)4]]</f>
        <v>39104</v>
      </c>
      <c r="U6" s="69">
        <f>Tabel13[[#This Row],[Maj.kulu
(55) 4]]*1.22</f>
        <v>351578.38</v>
      </c>
    </row>
    <row r="7" spans="1:21" x14ac:dyDescent="0.25">
      <c r="A7" s="65">
        <v>39</v>
      </c>
      <c r="B7" s="66" t="s">
        <v>36</v>
      </c>
      <c r="C7" s="67" t="s">
        <v>56</v>
      </c>
      <c r="D7" s="68" t="s">
        <v>52</v>
      </c>
      <c r="E7" s="58">
        <f>SUM(Tabel134[[#This Row],[2023]]+Tabel134[[#This Row],[2024 lisanduv]])</f>
        <v>161500</v>
      </c>
      <c r="F7" s="59">
        <f>SUM(Tabel134[[#This Row],[Inv.
(15)]:[Maj.kulu
(55) ]])</f>
        <v>61500</v>
      </c>
      <c r="G7" s="59">
        <f>SUM(Tabel134[[#This Row],[Inv.
(15)2]:[Maj.kulu
(55) 2]])</f>
        <v>45635</v>
      </c>
      <c r="H7" s="59">
        <f>SUM(Tabel134[[#This Row],[Inv.
(15)3]:[Maj.kulu
(55) 3]])</f>
        <v>100000</v>
      </c>
      <c r="I7" s="60">
        <f>SUM(Tabel134[[#This Row],[Inv.
(15)4]:[Maj.kulu
(55) 4]])</f>
        <v>146035</v>
      </c>
      <c r="J7" s="69">
        <f>Tabel13[[#This Row],[Inv.
(15)]]*1.2</f>
        <v>0</v>
      </c>
      <c r="K7" s="69">
        <f>Tabel13[[#This Row],[Tööj.kulu
(50)]]</f>
        <v>37500</v>
      </c>
      <c r="L7" s="61">
        <f>Tabel13[[#This Row],[Maj.kulu
(55) ]]*1.2</f>
        <v>24000</v>
      </c>
      <c r="M7" s="62">
        <f>Tabel13[[#This Row],[Inv.
(15)2]]*1.2</f>
        <v>0</v>
      </c>
      <c r="N7" s="69">
        <f>Tabel13[[#This Row],[Tööj.kulu
(50)2]]</f>
        <v>21635</v>
      </c>
      <c r="O7" s="61">
        <f>Tabel13[[#This Row],[Maj.kulu
(55) 2]]*1.2</f>
        <v>24000</v>
      </c>
      <c r="P7" s="62">
        <f>Tabel13[[#This Row],[Inv.
(15)3]]*1.22</f>
        <v>0</v>
      </c>
      <c r="Q7" s="69">
        <f>Tabel13[[#This Row],[Tööj.kulu
(50)3]]</f>
        <v>100000</v>
      </c>
      <c r="R7" s="61">
        <f>Tabel13[[#This Row],[Maj.kulu
(55) 3]]*1.22</f>
        <v>0</v>
      </c>
      <c r="S7" s="62">
        <f>Tabel13[[#This Row],[Inv.
(15)4]]*1.22</f>
        <v>0</v>
      </c>
      <c r="T7" s="69">
        <f>Tabel13[[#This Row],[Tööj.kulu
(50)4]]</f>
        <v>121635</v>
      </c>
      <c r="U7" s="69">
        <f>Tabel13[[#This Row],[Maj.kulu
(55) 4]]*1.22</f>
        <v>24400</v>
      </c>
    </row>
    <row r="8" spans="1:21" x14ac:dyDescent="0.25">
      <c r="A8" s="65">
        <v>40</v>
      </c>
      <c r="B8" s="66" t="s">
        <v>36</v>
      </c>
      <c r="C8" s="67" t="s">
        <v>56</v>
      </c>
      <c r="D8" s="68" t="s">
        <v>53</v>
      </c>
      <c r="E8" s="58">
        <f>SUM(Tabel134[[#This Row],[2023]]+Tabel134[[#This Row],[2024 lisanduv]])</f>
        <v>224700</v>
      </c>
      <c r="F8" s="59">
        <f>SUM(Tabel134[[#This Row],[Inv.
(15)]:[Maj.kulu
(55) ]])</f>
        <v>62500</v>
      </c>
      <c r="G8" s="59">
        <f>SUM(Tabel134[[#This Row],[Inv.
(15)2]:[Maj.kulu
(55) 2]])</f>
        <v>198</v>
      </c>
      <c r="H8" s="59">
        <f>SUM(Tabel134[[#This Row],[Inv.
(15)3]:[Maj.kulu
(55) 3]])</f>
        <v>162200</v>
      </c>
      <c r="I8" s="60">
        <f>SUM(Tabel134[[#This Row],[Inv.
(15)4]:[Maj.kulu
(55) 4]])</f>
        <v>162398</v>
      </c>
      <c r="J8" s="69">
        <f>Tabel13[[#This Row],[Inv.
(15)]]*1.2</f>
        <v>0</v>
      </c>
      <c r="K8" s="69">
        <f>Tabel13[[#This Row],[Tööj.kulu
(50)]]</f>
        <v>62500</v>
      </c>
      <c r="L8" s="61">
        <f>Tabel13[[#This Row],[Maj.kulu
(55) ]]*1.2</f>
        <v>0</v>
      </c>
      <c r="M8" s="62">
        <f>Tabel13[[#This Row],[Inv.
(15)2]]*1.2</f>
        <v>0</v>
      </c>
      <c r="N8" s="69">
        <f>Tabel13[[#This Row],[Tööj.kulu
(50)2]]</f>
        <v>198</v>
      </c>
      <c r="O8" s="61">
        <f>Tabel13[[#This Row],[Maj.kulu
(55) 2]]*1.2</f>
        <v>0</v>
      </c>
      <c r="P8" s="62">
        <f>Tabel13[[#This Row],[Inv.
(15)3]]*1.22</f>
        <v>0</v>
      </c>
      <c r="Q8" s="69">
        <f>Tabel13[[#This Row],[Tööj.kulu
(50)3]]</f>
        <v>150000</v>
      </c>
      <c r="R8" s="61">
        <f>Tabel13[[#This Row],[Maj.kulu
(55) 3]]*1.22</f>
        <v>12200</v>
      </c>
      <c r="S8" s="62">
        <f>Tabel13[[#This Row],[Inv.
(15)4]]*1.22</f>
        <v>0</v>
      </c>
      <c r="T8" s="69">
        <f>Tabel13[[#This Row],[Tööj.kulu
(50)4]]</f>
        <v>150198</v>
      </c>
      <c r="U8" s="69">
        <f>Tabel13[[#This Row],[Maj.kulu
(55) 4]]*1.22</f>
        <v>12200</v>
      </c>
    </row>
    <row r="9" spans="1:21" ht="30" x14ac:dyDescent="0.25">
      <c r="A9" s="65">
        <v>41</v>
      </c>
      <c r="B9" s="66" t="s">
        <v>36</v>
      </c>
      <c r="C9" s="67" t="s">
        <v>56</v>
      </c>
      <c r="D9" s="68" t="s">
        <v>54</v>
      </c>
      <c r="E9" s="58">
        <f>SUM(Tabel134[[#This Row],[2023]]+Tabel134[[#This Row],[2024 lisanduv]])</f>
        <v>148800</v>
      </c>
      <c r="F9" s="59">
        <f>SUM(Tabel134[[#This Row],[Inv.
(15)]:[Maj.kulu
(55) ]])</f>
        <v>0</v>
      </c>
      <c r="G9" s="59">
        <f>SUM(Tabel134[[#This Row],[Inv.
(15)2]:[Maj.kulu
(55) 2]])</f>
        <v>0</v>
      </c>
      <c r="H9" s="59">
        <f>SUM(Tabel134[[#This Row],[Inv.
(15)3]:[Maj.kulu
(55) 3]])</f>
        <v>148800</v>
      </c>
      <c r="I9" s="60">
        <f>SUM(Tabel134[[#This Row],[Inv.
(15)4]:[Maj.kulu
(55) 4]])</f>
        <v>148800</v>
      </c>
      <c r="J9" s="69">
        <f>Tabel13[[#This Row],[Inv.
(15)]]*1.2</f>
        <v>0</v>
      </c>
      <c r="K9" s="69">
        <f>Tabel13[[#This Row],[Tööj.kulu
(50)]]</f>
        <v>0</v>
      </c>
      <c r="L9" s="61">
        <f>Tabel13[[#This Row],[Maj.kulu
(55) ]]*1.2</f>
        <v>0</v>
      </c>
      <c r="M9" s="62">
        <f>Tabel13[[#This Row],[Inv.
(15)2]]*1.2</f>
        <v>0</v>
      </c>
      <c r="N9" s="69">
        <f>Tabel13[[#This Row],[Tööj.kulu
(50)2]]</f>
        <v>0</v>
      </c>
      <c r="O9" s="61">
        <f>Tabel13[[#This Row],[Maj.kulu
(55) 2]]*1.2</f>
        <v>0</v>
      </c>
      <c r="P9" s="62">
        <f>Tabel13[[#This Row],[Inv.
(15)3]]*1.22</f>
        <v>0</v>
      </c>
      <c r="Q9" s="69">
        <f>Tabel13[[#This Row],[Tööj.kulu
(50)3]]</f>
        <v>100000</v>
      </c>
      <c r="R9" s="61">
        <f>Tabel13[[#This Row],[Maj.kulu
(55) 3]]*1.22</f>
        <v>48800</v>
      </c>
      <c r="S9" s="62">
        <f>Tabel13[[#This Row],[Inv.
(15)4]]*1.22</f>
        <v>0</v>
      </c>
      <c r="T9" s="69">
        <f>Tabel13[[#This Row],[Tööj.kulu
(50)4]]</f>
        <v>100000</v>
      </c>
      <c r="U9" s="69">
        <f>Tabel13[[#This Row],[Maj.kulu
(55) 4]]*1.22</f>
        <v>48800</v>
      </c>
    </row>
    <row r="10" spans="1:21" x14ac:dyDescent="0.25">
      <c r="A10" s="65">
        <v>42</v>
      </c>
      <c r="B10" s="66" t="s">
        <v>36</v>
      </c>
      <c r="C10" s="67" t="s">
        <v>25</v>
      </c>
      <c r="D10" s="74" t="s">
        <v>189</v>
      </c>
      <c r="E10" s="75">
        <f>SUM(Tabel134[[#This Row],[2023]]+Tabel134[[#This Row],[2024 lisanduv]])</f>
        <v>536400</v>
      </c>
      <c r="F10" s="76">
        <f>SUM(Tabel134[[#This Row],[Inv.
(15)]:[Maj.kulu
(55) ]])</f>
        <v>536400</v>
      </c>
      <c r="G10" s="76">
        <f>SUM(Tabel134[[#This Row],[Inv.
(15)2]:[Maj.kulu
(55) 2]])</f>
        <v>536400</v>
      </c>
      <c r="H10" s="76">
        <f>SUM(Tabel134[[#This Row],[Inv.
(15)3]:[Maj.kulu
(55) 3]])</f>
        <v>0</v>
      </c>
      <c r="I10" s="77">
        <f>SUM(Tabel134[[#This Row],[Inv.
(15)4]:[Maj.kulu
(55) 4]])</f>
        <v>545340</v>
      </c>
      <c r="J10" s="78">
        <f>Tabel13[[#This Row],[Inv.
(15)]]*1.2</f>
        <v>536400</v>
      </c>
      <c r="K10" s="78">
        <f>Tabel13[[#This Row],[Tööj.kulu
(50)]]</f>
        <v>0</v>
      </c>
      <c r="L10" s="79">
        <f>Tabel13[[#This Row],[Maj.kulu
(55) ]]*1.2</f>
        <v>0</v>
      </c>
      <c r="M10" s="80">
        <f>Tabel13[[#This Row],[Inv.
(15)2]]*1.2</f>
        <v>536400</v>
      </c>
      <c r="N10" s="78">
        <f>Tabel13[[#This Row],[Tööj.kulu
(50)2]]</f>
        <v>0</v>
      </c>
      <c r="O10" s="79">
        <f>Tabel13[[#This Row],[Maj.kulu
(55) 2]]*1.2</f>
        <v>0</v>
      </c>
      <c r="P10" s="80">
        <f>Tabel13[[#This Row],[Inv.
(15)3]]*1.22</f>
        <v>0</v>
      </c>
      <c r="Q10" s="78">
        <f>Tabel13[[#This Row],[Tööj.kulu
(50)3]]</f>
        <v>0</v>
      </c>
      <c r="R10" s="79">
        <f>Tabel13[[#This Row],[Maj.kulu
(55) 3]]*1.22</f>
        <v>0</v>
      </c>
      <c r="S10" s="80">
        <f>Tabel13[[#This Row],[Inv.
(15)4]]*1.22</f>
        <v>545340</v>
      </c>
      <c r="T10" s="78">
        <f>Tabel13[[#This Row],[Tööj.kulu
(50)4]]</f>
        <v>0</v>
      </c>
      <c r="U10" s="78">
        <f>Tabel13[[#This Row],[Maj.kulu
(55) 4]]*1.22</f>
        <v>0</v>
      </c>
    </row>
    <row r="11" spans="1:21" x14ac:dyDescent="0.25">
      <c r="A11" s="65">
        <v>43</v>
      </c>
      <c r="B11" s="66" t="s">
        <v>36</v>
      </c>
      <c r="C11" s="67" t="s">
        <v>25</v>
      </c>
      <c r="D11" s="68" t="s">
        <v>60</v>
      </c>
      <c r="E11" s="58">
        <f>SUM(Tabel134[[#This Row],[2023]]+Tabel134[[#This Row],[2024 lisanduv]])</f>
        <v>464200</v>
      </c>
      <c r="F11" s="59">
        <f>SUM(Tabel134[[#This Row],[Inv.
(15)]:[Maj.kulu
(55) ]])</f>
        <v>464200</v>
      </c>
      <c r="G11" s="59">
        <f>SUM(Tabel134[[#This Row],[Inv.
(15)2]:[Maj.kulu
(55) 2]])</f>
        <v>464200</v>
      </c>
      <c r="H11" s="59">
        <f>SUM(Tabel134[[#This Row],[Inv.
(15)3]:[Maj.kulu
(55) 3]])</f>
        <v>0</v>
      </c>
      <c r="I11" s="60">
        <f>SUM(Tabel134[[#This Row],[Inv.
(15)4]:[Maj.kulu
(55) 4]])</f>
        <v>464200</v>
      </c>
      <c r="J11" s="69">
        <f>Tabel13[[#This Row],[Inv.
(15)]]*1.2</f>
        <v>0</v>
      </c>
      <c r="K11" s="69">
        <f>Tabel13[[#This Row],[Tööj.kulu
(50)]]</f>
        <v>464200</v>
      </c>
      <c r="L11" s="61">
        <f>Tabel13[[#This Row],[Maj.kulu
(55) ]]*1.2</f>
        <v>0</v>
      </c>
      <c r="M11" s="62">
        <f>Tabel13[[#This Row],[Inv.
(15)2]]*1.2</f>
        <v>0</v>
      </c>
      <c r="N11" s="69">
        <f>Tabel13[[#This Row],[Tööj.kulu
(50)2]]</f>
        <v>464200</v>
      </c>
      <c r="O11" s="61">
        <f>Tabel13[[#This Row],[Maj.kulu
(55) 2]]*1.2</f>
        <v>0</v>
      </c>
      <c r="P11" s="62">
        <f>Tabel13[[#This Row],[Inv.
(15)3]]*1.22</f>
        <v>0</v>
      </c>
      <c r="Q11" s="69">
        <f>Tabel13[[#This Row],[Tööj.kulu
(50)3]]</f>
        <v>0</v>
      </c>
      <c r="R11" s="61">
        <f>Tabel13[[#This Row],[Maj.kulu
(55) 3]]*1.22</f>
        <v>0</v>
      </c>
      <c r="S11" s="62">
        <f>Tabel13[[#This Row],[Inv.
(15)4]]*1.22</f>
        <v>0</v>
      </c>
      <c r="T11" s="69">
        <f>Tabel13[[#This Row],[Tööj.kulu
(50)4]]</f>
        <v>464200</v>
      </c>
      <c r="U11" s="69">
        <f>Tabel13[[#This Row],[Maj.kulu
(55) 4]]*1.22</f>
        <v>0</v>
      </c>
    </row>
    <row r="12" spans="1:21" x14ac:dyDescent="0.25">
      <c r="A12" s="65">
        <v>44</v>
      </c>
      <c r="B12" s="66" t="s">
        <v>36</v>
      </c>
      <c r="C12" s="67" t="s">
        <v>25</v>
      </c>
      <c r="D12" s="68" t="s">
        <v>61</v>
      </c>
      <c r="E12" s="58">
        <f>SUM(Tabel134[[#This Row],[2023]]+Tabel134[[#This Row],[2024 lisanduv]])</f>
        <v>140250</v>
      </c>
      <c r="F12" s="59">
        <f>SUM(Tabel134[[#This Row],[Inv.
(15)]:[Maj.kulu
(55) ]])</f>
        <v>140250</v>
      </c>
      <c r="G12" s="59">
        <f>SUM(Tabel134[[#This Row],[Inv.
(15)2]:[Maj.kulu
(55) 2]])</f>
        <v>140250</v>
      </c>
      <c r="H12" s="59">
        <f>SUM(Tabel134[[#This Row],[Inv.
(15)3]:[Maj.kulu
(55) 3]])</f>
        <v>0</v>
      </c>
      <c r="I12" s="60">
        <f>SUM(Tabel134[[#This Row],[Inv.
(15)4]:[Maj.kulu
(55) 4]])</f>
        <v>142587.5</v>
      </c>
      <c r="J12" s="69">
        <f>Tabel13[[#This Row],[Inv.
(15)]]*1.2</f>
        <v>0</v>
      </c>
      <c r="K12" s="69">
        <f>Tabel13[[#This Row],[Tööj.kulu
(50)]]</f>
        <v>0</v>
      </c>
      <c r="L12" s="61">
        <f>Tabel13[[#This Row],[Maj.kulu
(55) ]]*1.2</f>
        <v>140250</v>
      </c>
      <c r="M12" s="62">
        <f>Tabel13[[#This Row],[Inv.
(15)2]]*1.2</f>
        <v>0</v>
      </c>
      <c r="N12" s="69">
        <f>Tabel13[[#This Row],[Tööj.kulu
(50)2]]</f>
        <v>0</v>
      </c>
      <c r="O12" s="61">
        <f>Tabel13[[#This Row],[Maj.kulu
(55) 2]]*1.2</f>
        <v>140250</v>
      </c>
      <c r="P12" s="62">
        <f>Tabel13[[#This Row],[Inv.
(15)3]]*1.22</f>
        <v>0</v>
      </c>
      <c r="Q12" s="69">
        <f>Tabel13[[#This Row],[Tööj.kulu
(50)3]]</f>
        <v>0</v>
      </c>
      <c r="R12" s="61">
        <f>Tabel13[[#This Row],[Maj.kulu
(55) 3]]*1.22</f>
        <v>0</v>
      </c>
      <c r="S12" s="62">
        <f>Tabel13[[#This Row],[Inv.
(15)4]]*1.22</f>
        <v>0</v>
      </c>
      <c r="T12" s="69">
        <f>Tabel13[[#This Row],[Tööj.kulu
(50)4]]</f>
        <v>0</v>
      </c>
      <c r="U12" s="69">
        <f>Tabel13[[#This Row],[Maj.kulu
(55) 4]]*1.22</f>
        <v>142587.5</v>
      </c>
    </row>
    <row r="13" spans="1:21" ht="30" x14ac:dyDescent="0.25">
      <c r="A13" s="65">
        <v>45</v>
      </c>
      <c r="B13" s="66" t="s">
        <v>35</v>
      </c>
      <c r="C13" s="67" t="s">
        <v>81</v>
      </c>
      <c r="D13" s="68" t="s">
        <v>82</v>
      </c>
      <c r="E13" s="58">
        <f>SUM(Tabel134[[#This Row],[2023]]+Tabel134[[#This Row],[2024 lisanduv]])</f>
        <v>379610.76</v>
      </c>
      <c r="F13" s="59">
        <f>SUM(Tabel134[[#This Row],[Inv.
(15)]:[Maj.kulu
(55) ]])</f>
        <v>135400</v>
      </c>
      <c r="G13" s="59">
        <f>SUM(Tabel134[[#This Row],[Inv.
(15)2]:[Maj.kulu
(55) 2]])</f>
        <v>-109.59999999999127</v>
      </c>
      <c r="H13" s="59">
        <f>SUM(Tabel134[[#This Row],[Inv.
(15)3]:[Maj.kulu
(55) 3]])</f>
        <v>244210.76</v>
      </c>
      <c r="I13" s="60">
        <f>SUM(Tabel134[[#This Row],[Inv.
(15)4]:[Maj.kulu
(55) 4]])</f>
        <v>244000</v>
      </c>
      <c r="J13" s="69">
        <f>Tabel13[[#This Row],[Inv.
(15)]]*1.2</f>
        <v>116400</v>
      </c>
      <c r="K13" s="69">
        <f>Tabel13[[#This Row],[Tööj.kulu
(50)]]</f>
        <v>19000</v>
      </c>
      <c r="L13" s="61">
        <f>Tabel13[[#This Row],[Maj.kulu
(55) ]]*1.2</f>
        <v>0</v>
      </c>
      <c r="M13" s="62">
        <f>Tabel13[[#This Row],[Inv.
(15)2]]*1.2</f>
        <v>116400</v>
      </c>
      <c r="N13" s="69">
        <f>Tabel13[[#This Row],[Tööj.kulu
(50)2]]</f>
        <v>5960</v>
      </c>
      <c r="O13" s="61">
        <f>Tabel13[[#This Row],[Maj.kulu
(55) 2]]*1.2</f>
        <v>-122469.59999999999</v>
      </c>
      <c r="P13" s="62">
        <f>Tabel13[[#This Row],[Inv.
(15)3]]*1.22</f>
        <v>-118340</v>
      </c>
      <c r="Q13" s="69">
        <f>Tabel13[[#This Row],[Tööj.kulu
(50)3]]</f>
        <v>-5960</v>
      </c>
      <c r="R13" s="61">
        <f>Tabel13[[#This Row],[Maj.kulu
(55) 3]]*1.22</f>
        <v>368510.76</v>
      </c>
      <c r="S13" s="62">
        <f>Tabel13[[#This Row],[Inv.
(15)4]]*1.22</f>
        <v>0</v>
      </c>
      <c r="T13" s="69">
        <f>Tabel13[[#This Row],[Tööj.kulu
(50)4]]</f>
        <v>0</v>
      </c>
      <c r="U13" s="69">
        <f>Tabel13[[#This Row],[Maj.kulu
(55) 4]]*1.22</f>
        <v>244000</v>
      </c>
    </row>
    <row r="14" spans="1:21" ht="30" x14ac:dyDescent="0.25">
      <c r="A14" s="65">
        <v>46</v>
      </c>
      <c r="B14" s="66" t="s">
        <v>35</v>
      </c>
      <c r="C14" s="67" t="s">
        <v>81</v>
      </c>
      <c r="D14" s="68" t="s">
        <v>83</v>
      </c>
      <c r="E14" s="58">
        <f>SUM(Tabel134[[#This Row],[2023]]+Tabel134[[#This Row],[2024 lisanduv]])</f>
        <v>599618.02</v>
      </c>
      <c r="F14" s="59">
        <f>SUM(Tabel134[[#This Row],[Inv.
(15)]:[Maj.kulu
(55) ]])</f>
        <v>83399.599999999991</v>
      </c>
      <c r="G14" s="59">
        <f>SUM(Tabel134[[#This Row],[Inv.
(15)2]:[Maj.kulu
(55) 2]])</f>
        <v>52611.799999999996</v>
      </c>
      <c r="H14" s="59">
        <f>SUM(Tabel134[[#This Row],[Inv.
(15)3]:[Maj.kulu
(55) 3]])</f>
        <v>516218.42</v>
      </c>
      <c r="I14" s="60">
        <f>SUM(Tabel134[[#This Row],[Inv.
(15)4]:[Maj.kulu
(55) 4]])</f>
        <v>569844</v>
      </c>
      <c r="J14" s="69">
        <f>Tabel13[[#This Row],[Inv.
(15)]]*1.2</f>
        <v>68199.599999999991</v>
      </c>
      <c r="K14" s="69">
        <f>Tabel13[[#This Row],[Tööj.kulu
(50)]]</f>
        <v>15200</v>
      </c>
      <c r="L14" s="61">
        <f>Tabel13[[#This Row],[Maj.kulu
(55) ]]*1.2</f>
        <v>0</v>
      </c>
      <c r="M14" s="62">
        <f>Tabel13[[#This Row],[Inv.
(15)2]]*1.2</f>
        <v>60826.799999999996</v>
      </c>
      <c r="N14" s="69">
        <f>Tabel13[[#This Row],[Tööj.kulu
(50)2]]</f>
        <v>-8215</v>
      </c>
      <c r="O14" s="61">
        <f>Tabel13[[#This Row],[Maj.kulu
(55) 2]]*1.2</f>
        <v>0</v>
      </c>
      <c r="P14" s="62">
        <f>Tabel13[[#This Row],[Inv.
(15)3]]*1.22</f>
        <v>463003.42</v>
      </c>
      <c r="Q14" s="69">
        <f>Tabel13[[#This Row],[Tööj.kulu
(50)3]]</f>
        <v>53215</v>
      </c>
      <c r="R14" s="61">
        <f>Tabel13[[#This Row],[Maj.kulu
(55) 3]]*1.22</f>
        <v>0</v>
      </c>
      <c r="S14" s="62">
        <f>Tabel13[[#This Row],[Inv.
(15)4]]*1.22</f>
        <v>524844</v>
      </c>
      <c r="T14" s="69">
        <f>Tabel13[[#This Row],[Tööj.kulu
(50)4]]</f>
        <v>45000</v>
      </c>
      <c r="U14" s="69">
        <f>Tabel13[[#This Row],[Maj.kulu
(55) 4]]*1.22</f>
        <v>0</v>
      </c>
    </row>
    <row r="15" spans="1:21" ht="45" x14ac:dyDescent="0.25">
      <c r="A15" s="65">
        <v>47</v>
      </c>
      <c r="B15" s="66" t="s">
        <v>35</v>
      </c>
      <c r="C15" s="67" t="s">
        <v>81</v>
      </c>
      <c r="D15" s="68" t="s">
        <v>84</v>
      </c>
      <c r="E15" s="58">
        <f>SUM(Tabel134[[#This Row],[2023]]+Tabel134[[#This Row],[2024 lisanduv]])</f>
        <v>238176</v>
      </c>
      <c r="F15" s="59">
        <f>SUM(Tabel134[[#This Row],[Inv.
(15)]:[Maj.kulu
(55) ]])</f>
        <v>42000</v>
      </c>
      <c r="G15" s="59">
        <f>SUM(Tabel134[[#This Row],[Inv.
(15)2]:[Maj.kulu
(55) 2]])</f>
        <v>42000</v>
      </c>
      <c r="H15" s="59">
        <f>SUM(Tabel134[[#This Row],[Inv.
(15)3]:[Maj.kulu
(55) 3]])</f>
        <v>196176</v>
      </c>
      <c r="I15" s="60">
        <f>SUM(Tabel134[[#This Row],[Inv.
(15)4]:[Maj.kulu
(55) 4]])</f>
        <v>238876</v>
      </c>
      <c r="J15" s="69">
        <f>Tabel13[[#This Row],[Inv.
(15)]]*1.2</f>
        <v>42000</v>
      </c>
      <c r="K15" s="69">
        <f>Tabel13[[#This Row],[Tööj.kulu
(50)]]</f>
        <v>0</v>
      </c>
      <c r="L15" s="61">
        <f>Tabel13[[#This Row],[Maj.kulu
(55) ]]*1.2</f>
        <v>0</v>
      </c>
      <c r="M15" s="62">
        <f>Tabel13[[#This Row],[Inv.
(15)2]]*1.2</f>
        <v>42000</v>
      </c>
      <c r="N15" s="69">
        <f>Tabel13[[#This Row],[Tööj.kulu
(50)2]]</f>
        <v>0</v>
      </c>
      <c r="O15" s="61">
        <f>Tabel13[[#This Row],[Maj.kulu
(55) 2]]*1.2</f>
        <v>0</v>
      </c>
      <c r="P15" s="62">
        <f>Tabel13[[#This Row],[Inv.
(15)3]]*1.22</f>
        <v>196176</v>
      </c>
      <c r="Q15" s="69">
        <f>Tabel13[[#This Row],[Tööj.kulu
(50)3]]</f>
        <v>0</v>
      </c>
      <c r="R15" s="61">
        <f>Tabel13[[#This Row],[Maj.kulu
(55) 3]]*1.22</f>
        <v>0</v>
      </c>
      <c r="S15" s="62">
        <f>Tabel13[[#This Row],[Inv.
(15)4]]*1.22</f>
        <v>238876</v>
      </c>
      <c r="T15" s="69">
        <f>Tabel13[[#This Row],[Tööj.kulu
(50)4]]</f>
        <v>0</v>
      </c>
      <c r="U15" s="69">
        <f>Tabel13[[#This Row],[Maj.kulu
(55) 4]]*1.22</f>
        <v>0</v>
      </c>
    </row>
    <row r="16" spans="1:21" ht="45" x14ac:dyDescent="0.25">
      <c r="A16" s="65">
        <v>48</v>
      </c>
      <c r="B16" s="66" t="s">
        <v>35</v>
      </c>
      <c r="C16" s="67" t="s">
        <v>81</v>
      </c>
      <c r="D16" s="68" t="s">
        <v>85</v>
      </c>
      <c r="E16" s="58">
        <f>SUM(Tabel134[[#This Row],[2023]]+Tabel134[[#This Row],[2024 lisanduv]])</f>
        <v>670542</v>
      </c>
      <c r="F16" s="59">
        <f>SUM(Tabel134[[#This Row],[Inv.
(15)]:[Maj.kulu
(55) ]])</f>
        <v>15200</v>
      </c>
      <c r="G16" s="59">
        <f>SUM(Tabel134[[#This Row],[Inv.
(15)2]:[Maj.kulu
(55) 2]])</f>
        <v>-342</v>
      </c>
      <c r="H16" s="59">
        <f>SUM(Tabel134[[#This Row],[Inv.
(15)3]:[Maj.kulu
(55) 3]])</f>
        <v>655342</v>
      </c>
      <c r="I16" s="60">
        <f>SUM(Tabel134[[#This Row],[Inv.
(15)4]:[Maj.kulu
(55) 4]])</f>
        <v>655000</v>
      </c>
      <c r="J16" s="69">
        <f>Tabel13[[#This Row],[Inv.
(15)]]*1.2</f>
        <v>0</v>
      </c>
      <c r="K16" s="69">
        <f>Tabel13[[#This Row],[Tööj.kulu
(50)]]</f>
        <v>15200</v>
      </c>
      <c r="L16" s="61">
        <f>Tabel13[[#This Row],[Maj.kulu
(55) ]]*1.2</f>
        <v>0</v>
      </c>
      <c r="M16" s="62">
        <f>Tabel13[[#This Row],[Inv.
(15)2]]*1.2</f>
        <v>0</v>
      </c>
      <c r="N16" s="69">
        <f>Tabel13[[#This Row],[Tööj.kulu
(50)2]]</f>
        <v>-342</v>
      </c>
      <c r="O16" s="61">
        <f>Tabel13[[#This Row],[Maj.kulu
(55) 2]]*1.2</f>
        <v>0</v>
      </c>
      <c r="P16" s="62">
        <f>Tabel13[[#This Row],[Inv.
(15)3]]*1.22</f>
        <v>610000</v>
      </c>
      <c r="Q16" s="69">
        <f>Tabel13[[#This Row],[Tööj.kulu
(50)3]]</f>
        <v>45342</v>
      </c>
      <c r="R16" s="61">
        <f>Tabel13[[#This Row],[Maj.kulu
(55) 3]]*1.22</f>
        <v>0</v>
      </c>
      <c r="S16" s="62">
        <f>Tabel13[[#This Row],[Inv.
(15)4]]*1.22</f>
        <v>610000</v>
      </c>
      <c r="T16" s="69">
        <f>Tabel13[[#This Row],[Tööj.kulu
(50)4]]</f>
        <v>45000</v>
      </c>
      <c r="U16" s="69">
        <f>Tabel13[[#This Row],[Maj.kulu
(55) 4]]*1.22</f>
        <v>0</v>
      </c>
    </row>
    <row r="17" spans="1:21" x14ac:dyDescent="0.25">
      <c r="A17" s="65">
        <v>49</v>
      </c>
      <c r="B17" s="66" t="s">
        <v>35</v>
      </c>
      <c r="C17" s="67" t="s">
        <v>81</v>
      </c>
      <c r="D17" s="68" t="s">
        <v>86</v>
      </c>
      <c r="E17" s="58">
        <f>SUM(Tabel134[[#This Row],[2023]]+Tabel134[[#This Row],[2024 lisanduv]])</f>
        <v>379417.94</v>
      </c>
      <c r="F17" s="59">
        <f>SUM(Tabel134[[#This Row],[Inv.
(15)]:[Maj.kulu
(55) ]])</f>
        <v>240000</v>
      </c>
      <c r="G17" s="59">
        <f>SUM(Tabel134[[#This Row],[Inv.
(15)2]:[Maj.kulu
(55) 2]])</f>
        <v>54867.6</v>
      </c>
      <c r="H17" s="59">
        <f>SUM(Tabel134[[#This Row],[Inv.
(15)3]:[Maj.kulu
(55) 3]])</f>
        <v>139417.94</v>
      </c>
      <c r="I17" s="60">
        <f>SUM(Tabel134[[#This Row],[Inv.
(15)4]:[Maj.kulu
(55) 4]])</f>
        <v>195200</v>
      </c>
      <c r="J17" s="69">
        <f>Tabel13[[#This Row],[Inv.
(15)]]*1.2</f>
        <v>240000</v>
      </c>
      <c r="K17" s="69">
        <f>Tabel13[[#This Row],[Tööj.kulu
(50)]]</f>
        <v>0</v>
      </c>
      <c r="L17" s="61">
        <f>Tabel13[[#This Row],[Maj.kulu
(55) ]]*1.2</f>
        <v>0</v>
      </c>
      <c r="M17" s="62">
        <f>Tabel13[[#This Row],[Inv.
(15)2]]*1.2</f>
        <v>54867.6</v>
      </c>
      <c r="N17" s="69">
        <f>Tabel13[[#This Row],[Tööj.kulu
(50)2]]</f>
        <v>0</v>
      </c>
      <c r="O17" s="61">
        <f>Tabel13[[#This Row],[Maj.kulu
(55) 2]]*1.2</f>
        <v>0</v>
      </c>
      <c r="P17" s="62">
        <f>Tabel13[[#This Row],[Inv.
(15)3]]*1.22</f>
        <v>139417.94</v>
      </c>
      <c r="Q17" s="69">
        <f>Tabel13[[#This Row],[Tööj.kulu
(50)3]]</f>
        <v>0</v>
      </c>
      <c r="R17" s="61">
        <f>Tabel13[[#This Row],[Maj.kulu
(55) 3]]*1.22</f>
        <v>0</v>
      </c>
      <c r="S17" s="62">
        <f>Tabel13[[#This Row],[Inv.
(15)4]]*1.22</f>
        <v>195200</v>
      </c>
      <c r="T17" s="69">
        <f>Tabel13[[#This Row],[Tööj.kulu
(50)4]]</f>
        <v>0</v>
      </c>
      <c r="U17" s="69">
        <f>Tabel13[[#This Row],[Maj.kulu
(55) 4]]*1.22</f>
        <v>0</v>
      </c>
    </row>
    <row r="18" spans="1:21" x14ac:dyDescent="0.25">
      <c r="A18" s="65">
        <v>50</v>
      </c>
      <c r="B18" s="66" t="s">
        <v>35</v>
      </c>
      <c r="C18" s="67" t="s">
        <v>81</v>
      </c>
      <c r="D18" s="68" t="s">
        <v>87</v>
      </c>
      <c r="E18" s="58">
        <f>SUM(Tabel134[[#This Row],[2023]]+Tabel134[[#This Row],[2024 lisanduv]])</f>
        <v>36400</v>
      </c>
      <c r="F18" s="59">
        <f>SUM(Tabel134[[#This Row],[Inv.
(15)]:[Maj.kulu
(55) ]])</f>
        <v>12000</v>
      </c>
      <c r="G18" s="59">
        <f>SUM(Tabel134[[#This Row],[Inv.
(15)2]:[Maj.kulu
(55) 2]])</f>
        <v>12000</v>
      </c>
      <c r="H18" s="59">
        <f>SUM(Tabel134[[#This Row],[Inv.
(15)3]:[Maj.kulu
(55) 3]])</f>
        <v>24400</v>
      </c>
      <c r="I18" s="60">
        <f>SUM(Tabel134[[#This Row],[Inv.
(15)4]:[Maj.kulu
(55) 4]])</f>
        <v>36600</v>
      </c>
      <c r="J18" s="69">
        <f>Tabel13[[#This Row],[Inv.
(15)]]*1.2</f>
        <v>0</v>
      </c>
      <c r="K18" s="69">
        <f>Tabel13[[#This Row],[Tööj.kulu
(50)]]</f>
        <v>0</v>
      </c>
      <c r="L18" s="61">
        <f>Tabel13[[#This Row],[Maj.kulu
(55) ]]*1.2</f>
        <v>12000</v>
      </c>
      <c r="M18" s="62">
        <f>Tabel13[[#This Row],[Inv.
(15)2]]*1.2</f>
        <v>0</v>
      </c>
      <c r="N18" s="69">
        <f>Tabel13[[#This Row],[Tööj.kulu
(50)2]]</f>
        <v>0</v>
      </c>
      <c r="O18" s="61">
        <f>Tabel13[[#This Row],[Maj.kulu
(55) 2]]*1.2</f>
        <v>12000</v>
      </c>
      <c r="P18" s="62">
        <f>Tabel13[[#This Row],[Inv.
(15)3]]*1.22</f>
        <v>0</v>
      </c>
      <c r="Q18" s="69">
        <f>Tabel13[[#This Row],[Tööj.kulu
(50)3]]</f>
        <v>0</v>
      </c>
      <c r="R18" s="61">
        <f>Tabel13[[#This Row],[Maj.kulu
(55) 3]]*1.22</f>
        <v>24400</v>
      </c>
      <c r="S18" s="62">
        <f>Tabel13[[#This Row],[Inv.
(15)4]]*1.22</f>
        <v>0</v>
      </c>
      <c r="T18" s="69">
        <f>Tabel13[[#This Row],[Tööj.kulu
(50)4]]</f>
        <v>0</v>
      </c>
      <c r="U18" s="69">
        <f>Tabel13[[#This Row],[Maj.kulu
(55) 4]]*1.22</f>
        <v>36600</v>
      </c>
    </row>
    <row r="19" spans="1:21" ht="30" x14ac:dyDescent="0.25">
      <c r="A19" s="65">
        <v>51</v>
      </c>
      <c r="B19" s="66" t="s">
        <v>35</v>
      </c>
      <c r="C19" s="67" t="s">
        <v>92</v>
      </c>
      <c r="D19" s="68" t="s">
        <v>90</v>
      </c>
      <c r="E19" s="58">
        <f>SUM(Tabel134[[#This Row],[2023]]+Tabel134[[#This Row],[2024 lisanduv]])</f>
        <v>1223156.78</v>
      </c>
      <c r="F19" s="59">
        <f>SUM(Tabel134[[#This Row],[Inv.
(15)]:[Maj.kulu
(55) ]])</f>
        <v>754800</v>
      </c>
      <c r="G19" s="59">
        <f>SUM(Tabel134[[#This Row],[Inv.
(15)2]:[Maj.kulu
(55) 2]])</f>
        <v>739321.2</v>
      </c>
      <c r="H19" s="59">
        <f>SUM(Tabel134[[#This Row],[Inv.
(15)3]:[Maj.kulu
(55) 3]])</f>
        <v>468356.78</v>
      </c>
      <c r="I19" s="60">
        <f>SUM(Tabel134[[#This Row],[Inv.
(15)4]:[Maj.kulu
(55) 4]])</f>
        <v>1220000</v>
      </c>
      <c r="J19" s="69">
        <f>Tabel13[[#This Row],[Inv.
(15)]]*1.2</f>
        <v>528000</v>
      </c>
      <c r="K19" s="69">
        <f>Tabel13[[#This Row],[Tööj.kulu
(50)]]</f>
        <v>0</v>
      </c>
      <c r="L19" s="61">
        <f>Tabel13[[#This Row],[Maj.kulu
(55) ]]*1.2</f>
        <v>226800</v>
      </c>
      <c r="M19" s="62">
        <f>Tabel13[[#This Row],[Inv.
(15)2]]*1.2</f>
        <v>512521.19999999995</v>
      </c>
      <c r="N19" s="69">
        <f>Tabel13[[#This Row],[Tööj.kulu
(50)2]]</f>
        <v>0</v>
      </c>
      <c r="O19" s="61">
        <f>Tabel13[[#This Row],[Maj.kulu
(55) 2]]*1.2</f>
        <v>226800</v>
      </c>
      <c r="P19" s="62">
        <f>Tabel13[[#This Row],[Inv.
(15)3]]*1.22</f>
        <v>698936.78</v>
      </c>
      <c r="Q19" s="69">
        <f>Tabel13[[#This Row],[Tööj.kulu
(50)3]]</f>
        <v>0</v>
      </c>
      <c r="R19" s="61">
        <f>Tabel13[[#This Row],[Maj.kulu
(55) 3]]*1.22</f>
        <v>-230580</v>
      </c>
      <c r="S19" s="62">
        <f>Tabel13[[#This Row],[Inv.
(15)4]]*1.22</f>
        <v>1220000</v>
      </c>
      <c r="T19" s="69">
        <f>Tabel13[[#This Row],[Tööj.kulu
(50)4]]</f>
        <v>0</v>
      </c>
      <c r="U19" s="69">
        <f>Tabel13[[#This Row],[Maj.kulu
(55) 4]]*1.22</f>
        <v>0</v>
      </c>
    </row>
    <row r="20" spans="1:21" ht="30" x14ac:dyDescent="0.25">
      <c r="A20" s="65">
        <v>52</v>
      </c>
      <c r="B20" s="66" t="s">
        <v>35</v>
      </c>
      <c r="C20" s="67" t="s">
        <v>92</v>
      </c>
      <c r="D20" s="68" t="s">
        <v>91</v>
      </c>
      <c r="E20" s="58">
        <f>SUM(Tabel134[[#This Row],[2023]]+Tabel134[[#This Row],[2024 lisanduv]])</f>
        <v>61000</v>
      </c>
      <c r="F20" s="59">
        <f>SUM(Tabel134[[#This Row],[Inv.
(15)]:[Maj.kulu
(55) ]])</f>
        <v>0</v>
      </c>
      <c r="G20" s="59">
        <f>SUM(Tabel134[[#This Row],[Inv.
(15)2]:[Maj.kulu
(55) 2]])</f>
        <v>0</v>
      </c>
      <c r="H20" s="59">
        <f>SUM(Tabel134[[#This Row],[Inv.
(15)3]:[Maj.kulu
(55) 3]])</f>
        <v>61000</v>
      </c>
      <c r="I20" s="60">
        <f>SUM(Tabel134[[#This Row],[Inv.
(15)4]:[Maj.kulu
(55) 4]])</f>
        <v>61000</v>
      </c>
      <c r="J20" s="69">
        <f>Tabel13[[#This Row],[Inv.
(15)]]*1.2</f>
        <v>0</v>
      </c>
      <c r="K20" s="69">
        <f>Tabel13[[#This Row],[Tööj.kulu
(50)]]</f>
        <v>0</v>
      </c>
      <c r="L20" s="61">
        <f>Tabel13[[#This Row],[Maj.kulu
(55) ]]*1.2</f>
        <v>0</v>
      </c>
      <c r="M20" s="62">
        <f>Tabel13[[#This Row],[Inv.
(15)2]]*1.2</f>
        <v>0</v>
      </c>
      <c r="N20" s="69">
        <f>Tabel13[[#This Row],[Tööj.kulu
(50)2]]</f>
        <v>0</v>
      </c>
      <c r="O20" s="61">
        <f>Tabel13[[#This Row],[Maj.kulu
(55) 2]]*1.2</f>
        <v>0</v>
      </c>
      <c r="P20" s="62">
        <f>Tabel13[[#This Row],[Inv.
(15)3]]*1.22</f>
        <v>61000</v>
      </c>
      <c r="Q20" s="69">
        <f>Tabel13[[#This Row],[Tööj.kulu
(50)3]]</f>
        <v>0</v>
      </c>
      <c r="R20" s="61">
        <f>Tabel13[[#This Row],[Maj.kulu
(55) 3]]*1.22</f>
        <v>0</v>
      </c>
      <c r="S20" s="62">
        <f>Tabel13[[#This Row],[Inv.
(15)4]]*1.22</f>
        <v>61000</v>
      </c>
      <c r="T20" s="69">
        <f>Tabel13[[#This Row],[Tööj.kulu
(50)4]]</f>
        <v>0</v>
      </c>
      <c r="U20" s="69">
        <f>Tabel13[[#This Row],[Maj.kulu
(55) 4]]*1.22</f>
        <v>0</v>
      </c>
    </row>
    <row r="21" spans="1:21" x14ac:dyDescent="0.25">
      <c r="A21" s="65">
        <v>53</v>
      </c>
      <c r="B21" s="66" t="s">
        <v>35</v>
      </c>
      <c r="C21" s="67" t="s">
        <v>93</v>
      </c>
      <c r="D21" s="68" t="s">
        <v>24</v>
      </c>
      <c r="E21" s="58">
        <f>SUM(Tabel134[[#This Row],[2023]]+Tabel134[[#This Row],[2024 lisanduv]])</f>
        <v>416083.44</v>
      </c>
      <c r="F21" s="59">
        <f>SUM(Tabel134[[#This Row],[Inv.
(15)]:[Maj.kulu
(55) ]])</f>
        <v>0</v>
      </c>
      <c r="G21" s="59">
        <f>SUM(Tabel134[[#This Row],[Inv.
(15)2]:[Maj.kulu
(55) 2]])</f>
        <v>0</v>
      </c>
      <c r="H21" s="59">
        <f>SUM(Tabel134[[#This Row],[Inv.
(15)3]:[Maj.kulu
(55) 3]])</f>
        <v>416083.44</v>
      </c>
      <c r="I21" s="60">
        <f>SUM(Tabel134[[#This Row],[Inv.
(15)4]:[Maj.kulu
(55) 4]])</f>
        <v>416083.44</v>
      </c>
      <c r="J21" s="69">
        <f>Tabel13[[#This Row],[Inv.
(15)]]*1.2</f>
        <v>0</v>
      </c>
      <c r="K21" s="69">
        <f>Tabel13[[#This Row],[Tööj.kulu
(50)]]</f>
        <v>0</v>
      </c>
      <c r="L21" s="61">
        <f>Tabel13[[#This Row],[Maj.kulu
(55) ]]*1.2</f>
        <v>0</v>
      </c>
      <c r="M21" s="62">
        <f>Tabel13[[#This Row],[Inv.
(15)2]]*1.2</f>
        <v>0</v>
      </c>
      <c r="N21" s="69">
        <f>Tabel13[[#This Row],[Tööj.kulu
(50)2]]</f>
        <v>0</v>
      </c>
      <c r="O21" s="61">
        <f>Tabel13[[#This Row],[Maj.kulu
(55) 2]]*1.2</f>
        <v>0</v>
      </c>
      <c r="P21" s="62">
        <f>Tabel13[[#This Row],[Inv.
(15)3]]*1.22</f>
        <v>318483.44</v>
      </c>
      <c r="Q21" s="69">
        <f>Tabel13[[#This Row],[Tööj.kulu
(50)3]]</f>
        <v>0</v>
      </c>
      <c r="R21" s="61">
        <f>Tabel13[[#This Row],[Maj.kulu
(55) 3]]*1.22</f>
        <v>97600</v>
      </c>
      <c r="S21" s="62">
        <f>Tabel13[[#This Row],[Inv.
(15)4]]*1.22</f>
        <v>318483.44</v>
      </c>
      <c r="T21" s="69">
        <f>Tabel13[[#This Row],[Tööj.kulu
(50)4]]</f>
        <v>0</v>
      </c>
      <c r="U21" s="69">
        <f>Tabel13[[#This Row],[Maj.kulu
(55) 4]]*1.22</f>
        <v>97600</v>
      </c>
    </row>
    <row r="22" spans="1:21" x14ac:dyDescent="0.25">
      <c r="A22" s="65">
        <v>54</v>
      </c>
      <c r="B22" s="66" t="s">
        <v>35</v>
      </c>
      <c r="C22" s="67" t="s">
        <v>93</v>
      </c>
      <c r="D22" s="68" t="s">
        <v>94</v>
      </c>
      <c r="E22" s="58">
        <f>SUM(Tabel134[[#This Row],[2023]]+Tabel134[[#This Row],[2024 lisanduv]])</f>
        <v>244000</v>
      </c>
      <c r="F22" s="59">
        <f>SUM(Tabel134[[#This Row],[Inv.
(15)]:[Maj.kulu
(55) ]])</f>
        <v>0</v>
      </c>
      <c r="G22" s="59">
        <f>SUM(Tabel134[[#This Row],[Inv.
(15)2]:[Maj.kulu
(55) 2]])</f>
        <v>0</v>
      </c>
      <c r="H22" s="59">
        <f>SUM(Tabel134[[#This Row],[Inv.
(15)3]:[Maj.kulu
(55) 3]])</f>
        <v>244000</v>
      </c>
      <c r="I22" s="60">
        <f>SUM(Tabel134[[#This Row],[Inv.
(15)4]:[Maj.kulu
(55) 4]])</f>
        <v>244000</v>
      </c>
      <c r="J22" s="69">
        <f>Tabel13[[#This Row],[Inv.
(15)]]*1.2</f>
        <v>0</v>
      </c>
      <c r="K22" s="69">
        <f>Tabel13[[#This Row],[Tööj.kulu
(50)]]</f>
        <v>0</v>
      </c>
      <c r="L22" s="61">
        <f>Tabel13[[#This Row],[Maj.kulu
(55) ]]*1.2</f>
        <v>0</v>
      </c>
      <c r="M22" s="62">
        <f>Tabel13[[#This Row],[Inv.
(15)2]]*1.2</f>
        <v>0</v>
      </c>
      <c r="N22" s="69">
        <f>Tabel13[[#This Row],[Tööj.kulu
(50)2]]</f>
        <v>0</v>
      </c>
      <c r="O22" s="61">
        <f>Tabel13[[#This Row],[Maj.kulu
(55) 2]]*1.2</f>
        <v>0</v>
      </c>
      <c r="P22" s="62">
        <f>Tabel13[[#This Row],[Inv.
(15)3]]*1.22</f>
        <v>244000</v>
      </c>
      <c r="Q22" s="69">
        <f>Tabel13[[#This Row],[Tööj.kulu
(50)3]]</f>
        <v>0</v>
      </c>
      <c r="R22" s="61">
        <f>Tabel13[[#This Row],[Maj.kulu
(55) 3]]*1.22</f>
        <v>0</v>
      </c>
      <c r="S22" s="62">
        <f>Tabel13[[#This Row],[Inv.
(15)4]]*1.22</f>
        <v>244000</v>
      </c>
      <c r="T22" s="69">
        <f>Tabel13[[#This Row],[Tööj.kulu
(50)4]]</f>
        <v>0</v>
      </c>
      <c r="U22" s="69">
        <f>Tabel13[[#This Row],[Maj.kulu
(55) 4]]*1.22</f>
        <v>0</v>
      </c>
    </row>
    <row r="23" spans="1:21" ht="30" x14ac:dyDescent="0.25">
      <c r="A23" s="65">
        <v>55</v>
      </c>
      <c r="B23" s="66" t="s">
        <v>35</v>
      </c>
      <c r="C23" s="67" t="s">
        <v>93</v>
      </c>
      <c r="D23" s="68" t="s">
        <v>95</v>
      </c>
      <c r="E23" s="58">
        <f>SUM(Tabel134[[#This Row],[2023]]+Tabel134[[#This Row],[2024 lisanduv]])</f>
        <v>85457.62</v>
      </c>
      <c r="F23" s="59">
        <f>SUM(Tabel134[[#This Row],[Inv.
(15)]:[Maj.kulu
(55) ]])</f>
        <v>63667.199999999997</v>
      </c>
      <c r="G23" s="59">
        <f>SUM(Tabel134[[#This Row],[Inv.
(15)2]:[Maj.kulu
(55) 2]])</f>
        <v>63667.199999999997</v>
      </c>
      <c r="H23" s="59">
        <f>SUM(Tabel134[[#This Row],[Inv.
(15)3]:[Maj.kulu
(55) 3]])</f>
        <v>21790.42</v>
      </c>
      <c r="I23" s="60">
        <f>SUM(Tabel134[[#This Row],[Inv.
(15)4]:[Maj.kulu
(55) 4]])</f>
        <v>86518.74</v>
      </c>
      <c r="J23" s="69">
        <f>Tabel13[[#This Row],[Inv.
(15)]]*1.2</f>
        <v>63667.199999999997</v>
      </c>
      <c r="K23" s="69">
        <f>Tabel13[[#This Row],[Tööj.kulu
(50)]]</f>
        <v>0</v>
      </c>
      <c r="L23" s="61">
        <f>Tabel13[[#This Row],[Maj.kulu
(55) ]]*1.2</f>
        <v>0</v>
      </c>
      <c r="M23" s="62">
        <f>Tabel13[[#This Row],[Inv.
(15)2]]*1.2</f>
        <v>63667.199999999997</v>
      </c>
      <c r="N23" s="69">
        <f>Tabel13[[#This Row],[Tööj.kulu
(50)2]]</f>
        <v>0</v>
      </c>
      <c r="O23" s="61">
        <f>Tabel13[[#This Row],[Maj.kulu
(55) 2]]*1.2</f>
        <v>0</v>
      </c>
      <c r="P23" s="62">
        <f>Tabel13[[#This Row],[Inv.
(15)3]]*1.22</f>
        <v>21790.42</v>
      </c>
      <c r="Q23" s="69">
        <f>Tabel13[[#This Row],[Tööj.kulu
(50)3]]</f>
        <v>0</v>
      </c>
      <c r="R23" s="61">
        <f>Tabel13[[#This Row],[Maj.kulu
(55) 3]]*1.22</f>
        <v>0</v>
      </c>
      <c r="S23" s="62">
        <f>Tabel13[[#This Row],[Inv.
(15)4]]*1.22</f>
        <v>86518.74</v>
      </c>
      <c r="T23" s="69">
        <f>Tabel13[[#This Row],[Tööj.kulu
(50)4]]</f>
        <v>0</v>
      </c>
      <c r="U23" s="69">
        <f>Tabel13[[#This Row],[Maj.kulu
(55) 4]]*1.22</f>
        <v>0</v>
      </c>
    </row>
    <row r="24" spans="1:21" ht="30" x14ac:dyDescent="0.25">
      <c r="A24" s="65">
        <v>56</v>
      </c>
      <c r="B24" s="66" t="s">
        <v>35</v>
      </c>
      <c r="C24" s="67" t="s">
        <v>93</v>
      </c>
      <c r="D24" s="68" t="s">
        <v>96</v>
      </c>
      <c r="E24" s="58">
        <f>SUM(Tabel134[[#This Row],[2023]]+Tabel134[[#This Row],[2024 lisanduv]])</f>
        <v>162531.82</v>
      </c>
      <c r="F24" s="59">
        <f>SUM(Tabel134[[#This Row],[Inv.
(15)]:[Maj.kulu
(55) ]])</f>
        <v>121087.2</v>
      </c>
      <c r="G24" s="59">
        <f>SUM(Tabel134[[#This Row],[Inv.
(15)2]:[Maj.kulu
(55) 2]])</f>
        <v>121087.2</v>
      </c>
      <c r="H24" s="59">
        <f>SUM(Tabel134[[#This Row],[Inv.
(15)3]:[Maj.kulu
(55) 3]])</f>
        <v>41444.620000000003</v>
      </c>
      <c r="I24" s="60">
        <f>SUM(Tabel134[[#This Row],[Inv.
(15)4]:[Maj.kulu
(55) 4]])</f>
        <v>164549.94</v>
      </c>
      <c r="J24" s="69">
        <f>Tabel13[[#This Row],[Inv.
(15)]]*1.2</f>
        <v>121087.2</v>
      </c>
      <c r="K24" s="69">
        <f>Tabel13[[#This Row],[Tööj.kulu
(50)]]</f>
        <v>0</v>
      </c>
      <c r="L24" s="61">
        <f>Tabel13[[#This Row],[Maj.kulu
(55) ]]*1.2</f>
        <v>0</v>
      </c>
      <c r="M24" s="62">
        <f>Tabel13[[#This Row],[Inv.
(15)2]]*1.2</f>
        <v>121087.2</v>
      </c>
      <c r="N24" s="69">
        <f>Tabel13[[#This Row],[Tööj.kulu
(50)2]]</f>
        <v>0</v>
      </c>
      <c r="O24" s="61">
        <f>Tabel13[[#This Row],[Maj.kulu
(55) 2]]*1.2</f>
        <v>0</v>
      </c>
      <c r="P24" s="62">
        <f>Tabel13[[#This Row],[Inv.
(15)3]]*1.22</f>
        <v>41444.620000000003</v>
      </c>
      <c r="Q24" s="69">
        <f>Tabel13[[#This Row],[Tööj.kulu
(50)3]]</f>
        <v>0</v>
      </c>
      <c r="R24" s="61">
        <f>Tabel13[[#This Row],[Maj.kulu
(55) 3]]*1.22</f>
        <v>0</v>
      </c>
      <c r="S24" s="62">
        <f>Tabel13[[#This Row],[Inv.
(15)4]]*1.22</f>
        <v>164549.94</v>
      </c>
      <c r="T24" s="69">
        <f>Tabel13[[#This Row],[Tööj.kulu
(50)4]]</f>
        <v>0</v>
      </c>
      <c r="U24" s="69">
        <f>Tabel13[[#This Row],[Maj.kulu
(55) 4]]*1.22</f>
        <v>0</v>
      </c>
    </row>
    <row r="25" spans="1:21" x14ac:dyDescent="0.25">
      <c r="A25" s="65">
        <v>57</v>
      </c>
      <c r="B25" s="66" t="s">
        <v>35</v>
      </c>
      <c r="C25" s="67" t="s">
        <v>93</v>
      </c>
      <c r="D25" s="68" t="s">
        <v>97</v>
      </c>
      <c r="E25" s="58">
        <f>SUM(Tabel134[[#This Row],[2023]]+Tabel134[[#This Row],[2024 lisanduv]])</f>
        <v>60000</v>
      </c>
      <c r="F25" s="59">
        <f>SUM(Tabel134[[#This Row],[Inv.
(15)]:[Maj.kulu
(55) ]])</f>
        <v>60000</v>
      </c>
      <c r="G25" s="59">
        <f>SUM(Tabel134[[#This Row],[Inv.
(15)2]:[Maj.kulu
(55) 2]])</f>
        <v>60000</v>
      </c>
      <c r="H25" s="59">
        <f>SUM(Tabel134[[#This Row],[Inv.
(15)3]:[Maj.kulu
(55) 3]])</f>
        <v>0</v>
      </c>
      <c r="I25" s="60">
        <f>SUM(Tabel134[[#This Row],[Inv.
(15)4]:[Maj.kulu
(55) 4]])</f>
        <v>61000</v>
      </c>
      <c r="J25" s="69">
        <f>Tabel13[[#This Row],[Inv.
(15)]]*1.2</f>
        <v>0</v>
      </c>
      <c r="K25" s="69">
        <f>Tabel13[[#This Row],[Tööj.kulu
(50)]]</f>
        <v>0</v>
      </c>
      <c r="L25" s="61">
        <f>Tabel13[[#This Row],[Maj.kulu
(55) ]]*1.2</f>
        <v>60000</v>
      </c>
      <c r="M25" s="62">
        <f>Tabel13[[#This Row],[Inv.
(15)2]]*1.2</f>
        <v>0</v>
      </c>
      <c r="N25" s="69">
        <f>Tabel13[[#This Row],[Tööj.kulu
(50)2]]</f>
        <v>0</v>
      </c>
      <c r="O25" s="61">
        <f>Tabel13[[#This Row],[Maj.kulu
(55) 2]]*1.2</f>
        <v>60000</v>
      </c>
      <c r="P25" s="62">
        <f>Tabel13[[#This Row],[Inv.
(15)3]]*1.22</f>
        <v>0</v>
      </c>
      <c r="Q25" s="69">
        <f>Tabel13[[#This Row],[Tööj.kulu
(50)3]]</f>
        <v>0</v>
      </c>
      <c r="R25" s="61">
        <f>Tabel13[[#This Row],[Maj.kulu
(55) 3]]*1.22</f>
        <v>0</v>
      </c>
      <c r="S25" s="62">
        <f>Tabel13[[#This Row],[Inv.
(15)4]]*1.22</f>
        <v>0</v>
      </c>
      <c r="T25" s="69">
        <f>Tabel13[[#This Row],[Tööj.kulu
(50)4]]</f>
        <v>0</v>
      </c>
      <c r="U25" s="69">
        <f>Tabel13[[#This Row],[Maj.kulu
(55) 4]]*1.22</f>
        <v>61000</v>
      </c>
    </row>
    <row r="26" spans="1:21" ht="30" x14ac:dyDescent="0.25">
      <c r="A26" s="65">
        <v>58</v>
      </c>
      <c r="B26" s="66" t="s">
        <v>35</v>
      </c>
      <c r="C26" s="67" t="s">
        <v>93</v>
      </c>
      <c r="D26" s="68" t="s">
        <v>98</v>
      </c>
      <c r="E26" s="58">
        <f>SUM(Tabel134[[#This Row],[2023]]+Tabel134[[#This Row],[2024 lisanduv]])</f>
        <v>268727.5</v>
      </c>
      <c r="F26" s="59">
        <f>SUM(Tabel134[[#This Row],[Inv.
(15)]:[Maj.kulu
(55) ]])</f>
        <v>111085.2</v>
      </c>
      <c r="G26" s="59">
        <f>SUM(Tabel134[[#This Row],[Inv.
(15)2]:[Maj.kulu
(55) 2]])</f>
        <v>-6576</v>
      </c>
      <c r="H26" s="59">
        <f>SUM(Tabel134[[#This Row],[Inv.
(15)3]:[Maj.kulu
(55) 3]])</f>
        <v>157642.29999999999</v>
      </c>
      <c r="I26" s="60">
        <f>SUM(Tabel134[[#This Row],[Inv.
(15)4]:[Maj.kulu
(55) 4]])</f>
        <v>150956.69999999998</v>
      </c>
      <c r="J26" s="69">
        <f>Tabel13[[#This Row],[Inv.
(15)]]*1.2</f>
        <v>111085.2</v>
      </c>
      <c r="K26" s="69">
        <f>Tabel13[[#This Row],[Tööj.kulu
(50)]]</f>
        <v>0</v>
      </c>
      <c r="L26" s="61">
        <f>Tabel13[[#This Row],[Maj.kulu
(55) ]]*1.2</f>
        <v>0</v>
      </c>
      <c r="M26" s="62">
        <f>Tabel13[[#This Row],[Inv.
(15)2]]*1.2</f>
        <v>-6576</v>
      </c>
      <c r="N26" s="69">
        <f>Tabel13[[#This Row],[Tööj.kulu
(50)2]]</f>
        <v>0</v>
      </c>
      <c r="O26" s="61">
        <f>Tabel13[[#This Row],[Maj.kulu
(55) 2]]*1.2</f>
        <v>0</v>
      </c>
      <c r="P26" s="62">
        <f>Tabel13[[#This Row],[Inv.
(15)3]]*1.22</f>
        <v>157642.29999999999</v>
      </c>
      <c r="Q26" s="69">
        <f>Tabel13[[#This Row],[Tööj.kulu
(50)3]]</f>
        <v>0</v>
      </c>
      <c r="R26" s="61">
        <f>Tabel13[[#This Row],[Maj.kulu
(55) 3]]*1.22</f>
        <v>0</v>
      </c>
      <c r="S26" s="62">
        <f>Tabel13[[#This Row],[Inv.
(15)4]]*1.22</f>
        <v>150956.69999999998</v>
      </c>
      <c r="T26" s="69">
        <f>Tabel13[[#This Row],[Tööj.kulu
(50)4]]</f>
        <v>0</v>
      </c>
      <c r="U26" s="69">
        <f>Tabel13[[#This Row],[Maj.kulu
(55) 4]]*1.22</f>
        <v>0</v>
      </c>
    </row>
    <row r="27" spans="1:21" x14ac:dyDescent="0.25">
      <c r="A27" s="65">
        <v>59</v>
      </c>
      <c r="B27" s="66" t="s">
        <v>35</v>
      </c>
      <c r="C27" s="67" t="s">
        <v>93</v>
      </c>
      <c r="D27" s="68" t="s">
        <v>99</v>
      </c>
      <c r="E27" s="58">
        <f>SUM(Tabel134[[#This Row],[2023]]+Tabel134[[#This Row],[2024 lisanduv]])</f>
        <v>116042.68000000001</v>
      </c>
      <c r="F27" s="59">
        <f>SUM(Tabel134[[#This Row],[Inv.
(15)]:[Maj.kulu
(55) ]])</f>
        <v>86452.800000000003</v>
      </c>
      <c r="G27" s="59">
        <f>SUM(Tabel134[[#This Row],[Inv.
(15)2]:[Maj.kulu
(55) 2]])</f>
        <v>86452.800000000003</v>
      </c>
      <c r="H27" s="59">
        <f>SUM(Tabel134[[#This Row],[Inv.
(15)3]:[Maj.kulu
(55) 3]])</f>
        <v>29589.88</v>
      </c>
      <c r="I27" s="60">
        <f>SUM(Tabel134[[#This Row],[Inv.
(15)4]:[Maj.kulu
(55) 4]])</f>
        <v>117483.56</v>
      </c>
      <c r="J27" s="69">
        <f>Tabel13[[#This Row],[Inv.
(15)]]*1.2</f>
        <v>86452.800000000003</v>
      </c>
      <c r="K27" s="69">
        <f>Tabel13[[#This Row],[Tööj.kulu
(50)]]</f>
        <v>0</v>
      </c>
      <c r="L27" s="61">
        <f>Tabel13[[#This Row],[Maj.kulu
(55) ]]*1.2</f>
        <v>0</v>
      </c>
      <c r="M27" s="62">
        <f>Tabel13[[#This Row],[Inv.
(15)2]]*1.2</f>
        <v>86452.800000000003</v>
      </c>
      <c r="N27" s="69">
        <f>Tabel13[[#This Row],[Tööj.kulu
(50)2]]</f>
        <v>0</v>
      </c>
      <c r="O27" s="61">
        <f>Tabel13[[#This Row],[Maj.kulu
(55) 2]]*1.2</f>
        <v>0</v>
      </c>
      <c r="P27" s="62">
        <f>Tabel13[[#This Row],[Inv.
(15)3]]*1.22</f>
        <v>29589.88</v>
      </c>
      <c r="Q27" s="69">
        <f>Tabel13[[#This Row],[Tööj.kulu
(50)3]]</f>
        <v>0</v>
      </c>
      <c r="R27" s="61">
        <f>Tabel13[[#This Row],[Maj.kulu
(55) 3]]*1.22</f>
        <v>0</v>
      </c>
      <c r="S27" s="62">
        <f>Tabel13[[#This Row],[Inv.
(15)4]]*1.22</f>
        <v>117483.56</v>
      </c>
      <c r="T27" s="69">
        <f>Tabel13[[#This Row],[Tööj.kulu
(50)4]]</f>
        <v>0</v>
      </c>
      <c r="U27" s="69">
        <f>Tabel13[[#This Row],[Maj.kulu
(55) 4]]*1.22</f>
        <v>0</v>
      </c>
    </row>
    <row r="28" spans="1:21" ht="30" x14ac:dyDescent="0.25">
      <c r="A28" s="65">
        <v>60</v>
      </c>
      <c r="B28" s="66" t="s">
        <v>35</v>
      </c>
      <c r="C28" s="67" t="s">
        <v>93</v>
      </c>
      <c r="D28" s="68" t="s">
        <v>100</v>
      </c>
      <c r="E28" s="58">
        <f>SUM(Tabel134[[#This Row],[2023]]+Tabel134[[#This Row],[2024 lisanduv]])</f>
        <v>152090.16</v>
      </c>
      <c r="F28" s="59">
        <f>SUM(Tabel134[[#This Row],[Inv.
(15)]:[Maj.kulu
(55) ]])</f>
        <v>113308.8</v>
      </c>
      <c r="G28" s="59">
        <f>SUM(Tabel134[[#This Row],[Inv.
(15)2]:[Maj.kulu
(55) 2]])</f>
        <v>113308.8</v>
      </c>
      <c r="H28" s="59">
        <f>SUM(Tabel134[[#This Row],[Inv.
(15)3]:[Maj.kulu
(55) 3]])</f>
        <v>38781.360000000001</v>
      </c>
      <c r="I28" s="60">
        <f>SUM(Tabel134[[#This Row],[Inv.
(15)4]:[Maj.kulu
(55) 4]])</f>
        <v>153978.63999999998</v>
      </c>
      <c r="J28" s="69">
        <f>Tabel13[[#This Row],[Inv.
(15)]]*1.2</f>
        <v>113308.8</v>
      </c>
      <c r="K28" s="69">
        <f>Tabel13[[#This Row],[Tööj.kulu
(50)]]</f>
        <v>0</v>
      </c>
      <c r="L28" s="61">
        <f>Tabel13[[#This Row],[Maj.kulu
(55) ]]*1.2</f>
        <v>0</v>
      </c>
      <c r="M28" s="62">
        <f>Tabel13[[#This Row],[Inv.
(15)2]]*1.2</f>
        <v>113308.8</v>
      </c>
      <c r="N28" s="69">
        <f>Tabel13[[#This Row],[Tööj.kulu
(50)2]]</f>
        <v>0</v>
      </c>
      <c r="O28" s="61">
        <f>Tabel13[[#This Row],[Maj.kulu
(55) 2]]*1.2</f>
        <v>0</v>
      </c>
      <c r="P28" s="62">
        <f>Tabel13[[#This Row],[Inv.
(15)3]]*1.22</f>
        <v>38781.360000000001</v>
      </c>
      <c r="Q28" s="69">
        <f>Tabel13[[#This Row],[Tööj.kulu
(50)3]]</f>
        <v>0</v>
      </c>
      <c r="R28" s="61">
        <f>Tabel13[[#This Row],[Maj.kulu
(55) 3]]*1.22</f>
        <v>0</v>
      </c>
      <c r="S28" s="62">
        <f>Tabel13[[#This Row],[Inv.
(15)4]]*1.22</f>
        <v>153978.63999999998</v>
      </c>
      <c r="T28" s="69">
        <f>Tabel13[[#This Row],[Tööj.kulu
(50)4]]</f>
        <v>0</v>
      </c>
      <c r="U28" s="69">
        <f>Tabel13[[#This Row],[Maj.kulu
(55) 4]]*1.22</f>
        <v>0</v>
      </c>
    </row>
    <row r="29" spans="1:21" ht="30" x14ac:dyDescent="0.25">
      <c r="A29" s="65">
        <v>61</v>
      </c>
      <c r="B29" s="66" t="s">
        <v>35</v>
      </c>
      <c r="C29" s="67" t="s">
        <v>93</v>
      </c>
      <c r="D29" s="68" t="s">
        <v>101</v>
      </c>
      <c r="E29" s="58">
        <f>SUM(Tabel134[[#This Row],[2023]]+Tabel134[[#This Row],[2024 lisanduv]])</f>
        <v>77646.58</v>
      </c>
      <c r="F29" s="59">
        <f>SUM(Tabel134[[#This Row],[Inv.
(15)]:[Maj.kulu
(55) ]])</f>
        <v>57847.199999999997</v>
      </c>
      <c r="G29" s="59">
        <f>SUM(Tabel134[[#This Row],[Inv.
(15)2]:[Maj.kulu
(55) 2]])</f>
        <v>57847.199999999997</v>
      </c>
      <c r="H29" s="59">
        <f>SUM(Tabel134[[#This Row],[Inv.
(15)3]:[Maj.kulu
(55) 3]])</f>
        <v>19799.38</v>
      </c>
      <c r="I29" s="60">
        <f>SUM(Tabel134[[#This Row],[Inv.
(15)4]:[Maj.kulu
(55) 4]])</f>
        <v>78610.7</v>
      </c>
      <c r="J29" s="69">
        <f>Tabel13[[#This Row],[Inv.
(15)]]*1.2</f>
        <v>57847.199999999997</v>
      </c>
      <c r="K29" s="69">
        <f>Tabel13[[#This Row],[Tööj.kulu
(50)]]</f>
        <v>0</v>
      </c>
      <c r="L29" s="61">
        <f>Tabel13[[#This Row],[Maj.kulu
(55) ]]*1.2</f>
        <v>0</v>
      </c>
      <c r="M29" s="62">
        <f>Tabel13[[#This Row],[Inv.
(15)2]]*1.2</f>
        <v>57847.199999999997</v>
      </c>
      <c r="N29" s="69">
        <f>Tabel13[[#This Row],[Tööj.kulu
(50)2]]</f>
        <v>0</v>
      </c>
      <c r="O29" s="61">
        <f>Tabel13[[#This Row],[Maj.kulu
(55) 2]]*1.2</f>
        <v>0</v>
      </c>
      <c r="P29" s="62">
        <f>Tabel13[[#This Row],[Inv.
(15)3]]*1.22</f>
        <v>19799.38</v>
      </c>
      <c r="Q29" s="69">
        <f>Tabel13[[#This Row],[Tööj.kulu
(50)3]]</f>
        <v>0</v>
      </c>
      <c r="R29" s="61">
        <f>Tabel13[[#This Row],[Maj.kulu
(55) 3]]*1.22</f>
        <v>0</v>
      </c>
      <c r="S29" s="62">
        <f>Tabel13[[#This Row],[Inv.
(15)4]]*1.22</f>
        <v>78610.7</v>
      </c>
      <c r="T29" s="69">
        <f>Tabel13[[#This Row],[Tööj.kulu
(50)4]]</f>
        <v>0</v>
      </c>
      <c r="U29" s="69">
        <f>Tabel13[[#This Row],[Maj.kulu
(55) 4]]*1.22</f>
        <v>0</v>
      </c>
    </row>
    <row r="30" spans="1:21" x14ac:dyDescent="0.25">
      <c r="A30" s="65">
        <v>62</v>
      </c>
      <c r="B30" s="66" t="s">
        <v>35</v>
      </c>
      <c r="C30" s="67" t="s">
        <v>93</v>
      </c>
      <c r="D30" s="68" t="s">
        <v>102</v>
      </c>
      <c r="E30" s="58">
        <f>SUM(Tabel134[[#This Row],[2023]]+Tabel134[[#This Row],[2024 lisanduv]])</f>
        <v>127900.23999999999</v>
      </c>
      <c r="F30" s="59">
        <f>SUM(Tabel134[[#This Row],[Inv.
(15)]:[Maj.kulu
(55) ]])</f>
        <v>95287.2</v>
      </c>
      <c r="G30" s="59">
        <f>SUM(Tabel134[[#This Row],[Inv.
(15)2]:[Maj.kulu
(55) 2]])</f>
        <v>95287.2</v>
      </c>
      <c r="H30" s="59">
        <f>SUM(Tabel134[[#This Row],[Inv.
(15)3]:[Maj.kulu
(55) 3]])</f>
        <v>32613.040000000001</v>
      </c>
      <c r="I30" s="60">
        <f>SUM(Tabel134[[#This Row],[Inv.
(15)4]:[Maj.kulu
(55) 4]])</f>
        <v>129488.36</v>
      </c>
      <c r="J30" s="69">
        <f>Tabel13[[#This Row],[Inv.
(15)]]*1.2</f>
        <v>95287.2</v>
      </c>
      <c r="K30" s="69">
        <f>Tabel13[[#This Row],[Tööj.kulu
(50)]]</f>
        <v>0</v>
      </c>
      <c r="L30" s="61">
        <f>Tabel13[[#This Row],[Maj.kulu
(55) ]]*1.2</f>
        <v>0</v>
      </c>
      <c r="M30" s="62">
        <f>Tabel13[[#This Row],[Inv.
(15)2]]*1.2</f>
        <v>95287.2</v>
      </c>
      <c r="N30" s="69">
        <f>Tabel13[[#This Row],[Tööj.kulu
(50)2]]</f>
        <v>0</v>
      </c>
      <c r="O30" s="61">
        <f>Tabel13[[#This Row],[Maj.kulu
(55) 2]]*1.2</f>
        <v>0</v>
      </c>
      <c r="P30" s="62">
        <f>Tabel13[[#This Row],[Inv.
(15)3]]*1.22</f>
        <v>32613.040000000001</v>
      </c>
      <c r="Q30" s="69">
        <f>Tabel13[[#This Row],[Tööj.kulu
(50)3]]</f>
        <v>0</v>
      </c>
      <c r="R30" s="61">
        <f>Tabel13[[#This Row],[Maj.kulu
(55) 3]]*1.22</f>
        <v>0</v>
      </c>
      <c r="S30" s="62">
        <f>Tabel13[[#This Row],[Inv.
(15)4]]*1.22</f>
        <v>129488.36</v>
      </c>
      <c r="T30" s="69">
        <f>Tabel13[[#This Row],[Tööj.kulu
(50)4]]</f>
        <v>0</v>
      </c>
      <c r="U30" s="69">
        <f>Tabel13[[#This Row],[Maj.kulu
(55) 4]]*1.22</f>
        <v>0</v>
      </c>
    </row>
    <row r="31" spans="1:21" ht="30" x14ac:dyDescent="0.25">
      <c r="A31" s="65">
        <v>63</v>
      </c>
      <c r="B31" s="66" t="s">
        <v>35</v>
      </c>
      <c r="C31" s="67" t="s">
        <v>93</v>
      </c>
      <c r="D31" s="68" t="s">
        <v>103</v>
      </c>
      <c r="E31" s="58">
        <f>SUM(Tabel134[[#This Row],[2023]]+Tabel134[[#This Row],[2024 lisanduv]])</f>
        <v>86134.86</v>
      </c>
      <c r="F31" s="59">
        <f>SUM(Tabel134[[#This Row],[Inv.
(15)]:[Maj.kulu
(55) ]])</f>
        <v>64171.199999999997</v>
      </c>
      <c r="G31" s="59">
        <f>SUM(Tabel134[[#This Row],[Inv.
(15)2]:[Maj.kulu
(55) 2]])</f>
        <v>64171.199999999997</v>
      </c>
      <c r="H31" s="59">
        <f>SUM(Tabel134[[#This Row],[Inv.
(15)3]:[Maj.kulu
(55) 3]])</f>
        <v>21963.66</v>
      </c>
      <c r="I31" s="60">
        <f>SUM(Tabel134[[#This Row],[Inv.
(15)4]:[Maj.kulu
(55) 4]])</f>
        <v>87204.38</v>
      </c>
      <c r="J31" s="69">
        <f>Tabel13[[#This Row],[Inv.
(15)]]*1.2</f>
        <v>64171.199999999997</v>
      </c>
      <c r="K31" s="69">
        <f>Tabel13[[#This Row],[Tööj.kulu
(50)]]</f>
        <v>0</v>
      </c>
      <c r="L31" s="61">
        <f>Tabel13[[#This Row],[Maj.kulu
(55) ]]*1.2</f>
        <v>0</v>
      </c>
      <c r="M31" s="62">
        <f>Tabel13[[#This Row],[Inv.
(15)2]]*1.2</f>
        <v>64171.199999999997</v>
      </c>
      <c r="N31" s="69">
        <f>Tabel13[[#This Row],[Tööj.kulu
(50)2]]</f>
        <v>0</v>
      </c>
      <c r="O31" s="61">
        <f>Tabel13[[#This Row],[Maj.kulu
(55) 2]]*1.2</f>
        <v>0</v>
      </c>
      <c r="P31" s="62">
        <f>Tabel13[[#This Row],[Inv.
(15)3]]*1.22</f>
        <v>21963.66</v>
      </c>
      <c r="Q31" s="69">
        <f>Tabel13[[#This Row],[Tööj.kulu
(50)3]]</f>
        <v>0</v>
      </c>
      <c r="R31" s="61">
        <f>Tabel13[[#This Row],[Maj.kulu
(55) 3]]*1.22</f>
        <v>0</v>
      </c>
      <c r="S31" s="62">
        <f>Tabel13[[#This Row],[Inv.
(15)4]]*1.22</f>
        <v>87204.38</v>
      </c>
      <c r="T31" s="69">
        <f>Tabel13[[#This Row],[Tööj.kulu
(50)4]]</f>
        <v>0</v>
      </c>
      <c r="U31" s="69">
        <f>Tabel13[[#This Row],[Maj.kulu
(55) 4]]*1.22</f>
        <v>0</v>
      </c>
    </row>
    <row r="32" spans="1:21" ht="30" x14ac:dyDescent="0.25">
      <c r="A32" s="65">
        <v>64</v>
      </c>
      <c r="B32" s="66" t="s">
        <v>35</v>
      </c>
      <c r="C32" s="67" t="s">
        <v>93</v>
      </c>
      <c r="D32" s="68" t="s">
        <v>104</v>
      </c>
      <c r="E32" s="58">
        <f>SUM(Tabel134[[#This Row],[2023]]+Tabel134[[#This Row],[2024 lisanduv]])</f>
        <v>153225.29999999999</v>
      </c>
      <c r="F32" s="59">
        <f>SUM(Tabel134[[#This Row],[Inv.
(15)]:[Maj.kulu
(55) ]])</f>
        <v>114154.8</v>
      </c>
      <c r="G32" s="59">
        <f>SUM(Tabel134[[#This Row],[Inv.
(15)2]:[Maj.kulu
(55) 2]])</f>
        <v>114154.8</v>
      </c>
      <c r="H32" s="59">
        <f>SUM(Tabel134[[#This Row],[Inv.
(15)3]:[Maj.kulu
(55) 3]])</f>
        <v>39070.5</v>
      </c>
      <c r="I32" s="60">
        <f>SUM(Tabel134[[#This Row],[Inv.
(15)4]:[Maj.kulu
(55) 4]])</f>
        <v>155127.88</v>
      </c>
      <c r="J32" s="69">
        <f>Tabel13[[#This Row],[Inv.
(15)]]*1.2</f>
        <v>114154.8</v>
      </c>
      <c r="K32" s="69">
        <f>Tabel13[[#This Row],[Tööj.kulu
(50)]]</f>
        <v>0</v>
      </c>
      <c r="L32" s="61">
        <f>Tabel13[[#This Row],[Maj.kulu
(55) ]]*1.2</f>
        <v>0</v>
      </c>
      <c r="M32" s="62">
        <f>Tabel13[[#This Row],[Inv.
(15)2]]*1.2</f>
        <v>114154.8</v>
      </c>
      <c r="N32" s="69">
        <f>Tabel13[[#This Row],[Tööj.kulu
(50)2]]</f>
        <v>0</v>
      </c>
      <c r="O32" s="61">
        <f>Tabel13[[#This Row],[Maj.kulu
(55) 2]]*1.2</f>
        <v>0</v>
      </c>
      <c r="P32" s="62">
        <f>Tabel13[[#This Row],[Inv.
(15)3]]*1.22</f>
        <v>39070.5</v>
      </c>
      <c r="Q32" s="69">
        <f>Tabel13[[#This Row],[Tööj.kulu
(50)3]]</f>
        <v>0</v>
      </c>
      <c r="R32" s="61">
        <f>Tabel13[[#This Row],[Maj.kulu
(55) 3]]*1.22</f>
        <v>0</v>
      </c>
      <c r="S32" s="62">
        <f>Tabel13[[#This Row],[Inv.
(15)4]]*1.22</f>
        <v>155127.88</v>
      </c>
      <c r="T32" s="69">
        <f>Tabel13[[#This Row],[Tööj.kulu
(50)4]]</f>
        <v>0</v>
      </c>
      <c r="U32" s="69">
        <f>Tabel13[[#This Row],[Maj.kulu
(55) 4]]*1.22</f>
        <v>0</v>
      </c>
    </row>
    <row r="33" spans="1:21" ht="30" x14ac:dyDescent="0.25">
      <c r="A33" s="65">
        <v>65</v>
      </c>
      <c r="B33" s="66" t="s">
        <v>35</v>
      </c>
      <c r="C33" s="67" t="s">
        <v>93</v>
      </c>
      <c r="D33" s="68" t="s">
        <v>105</v>
      </c>
      <c r="E33" s="58">
        <f>SUM(Tabel134[[#This Row],[2023]]+Tabel134[[#This Row],[2024 lisanduv]])</f>
        <v>97904.459999999992</v>
      </c>
      <c r="F33" s="59">
        <f>SUM(Tabel134[[#This Row],[Inv.
(15)]:[Maj.kulu
(55) ]])</f>
        <v>72939.599999999991</v>
      </c>
      <c r="G33" s="59">
        <f>SUM(Tabel134[[#This Row],[Inv.
(15)2]:[Maj.kulu
(55) 2]])</f>
        <v>72939.599999999991</v>
      </c>
      <c r="H33" s="59">
        <f>SUM(Tabel134[[#This Row],[Inv.
(15)3]:[Maj.kulu
(55) 3]])</f>
        <v>24964.86</v>
      </c>
      <c r="I33" s="60">
        <f>SUM(Tabel134[[#This Row],[Inv.
(15)4]:[Maj.kulu
(55) 4]])</f>
        <v>99120.12</v>
      </c>
      <c r="J33" s="69">
        <f>Tabel13[[#This Row],[Inv.
(15)]]*1.2</f>
        <v>72939.599999999991</v>
      </c>
      <c r="K33" s="69">
        <f>Tabel13[[#This Row],[Tööj.kulu
(50)]]</f>
        <v>0</v>
      </c>
      <c r="L33" s="61">
        <f>Tabel13[[#This Row],[Maj.kulu
(55) ]]*1.2</f>
        <v>0</v>
      </c>
      <c r="M33" s="62">
        <f>Tabel13[[#This Row],[Inv.
(15)2]]*1.2</f>
        <v>72939.599999999991</v>
      </c>
      <c r="N33" s="69">
        <f>Tabel13[[#This Row],[Tööj.kulu
(50)2]]</f>
        <v>0</v>
      </c>
      <c r="O33" s="61">
        <f>Tabel13[[#This Row],[Maj.kulu
(55) 2]]*1.2</f>
        <v>0</v>
      </c>
      <c r="P33" s="62">
        <f>Tabel13[[#This Row],[Inv.
(15)3]]*1.22</f>
        <v>24964.86</v>
      </c>
      <c r="Q33" s="69">
        <f>Tabel13[[#This Row],[Tööj.kulu
(50)3]]</f>
        <v>0</v>
      </c>
      <c r="R33" s="61">
        <f>Tabel13[[#This Row],[Maj.kulu
(55) 3]]*1.22</f>
        <v>0</v>
      </c>
      <c r="S33" s="62">
        <f>Tabel13[[#This Row],[Inv.
(15)4]]*1.22</f>
        <v>99120.12</v>
      </c>
      <c r="T33" s="69">
        <f>Tabel13[[#This Row],[Tööj.kulu
(50)4]]</f>
        <v>0</v>
      </c>
      <c r="U33" s="69">
        <f>Tabel13[[#This Row],[Maj.kulu
(55) 4]]*1.22</f>
        <v>0</v>
      </c>
    </row>
    <row r="34" spans="1:21" x14ac:dyDescent="0.25">
      <c r="A34" s="65">
        <v>66</v>
      </c>
      <c r="B34" s="66" t="s">
        <v>35</v>
      </c>
      <c r="C34" s="67" t="s">
        <v>93</v>
      </c>
      <c r="D34" s="68" t="s">
        <v>116</v>
      </c>
      <c r="E34" s="58">
        <f>SUM(Tabel134[[#This Row],[2023]]+Tabel134[[#This Row],[2024 lisanduv]])</f>
        <v>50000</v>
      </c>
      <c r="F34" s="59">
        <f>SUM(Tabel134[[#This Row],[Inv.
(15)]:[Maj.kulu
(55) ]])</f>
        <v>54189</v>
      </c>
      <c r="G34" s="59">
        <f>SUM(Tabel134[[#This Row],[Inv.
(15)2]:[Maj.kulu
(55) 2]])</f>
        <v>54189</v>
      </c>
      <c r="H34" s="59">
        <f>SUM(Tabel134[[#This Row],[Inv.
(15)3]:[Maj.kulu
(55) 3]])</f>
        <v>-4189</v>
      </c>
      <c r="I34" s="60">
        <f>SUM(Tabel134[[#This Row],[Inv.
(15)4]:[Maj.kulu
(55) 4]])</f>
        <v>50000</v>
      </c>
      <c r="J34" s="69">
        <f>Tabel13[[#This Row],[Inv.
(15)]]*1.2</f>
        <v>0</v>
      </c>
      <c r="K34" s="69">
        <f>Tabel13[[#This Row],[Tööj.kulu
(50)]]</f>
        <v>54189</v>
      </c>
      <c r="L34" s="61">
        <f>Tabel13[[#This Row],[Maj.kulu
(55) ]]*1.2</f>
        <v>0</v>
      </c>
      <c r="M34" s="62">
        <f>Tabel13[[#This Row],[Inv.
(15)2]]*1.2</f>
        <v>0</v>
      </c>
      <c r="N34" s="69">
        <f>Tabel13[[#This Row],[Tööj.kulu
(50)2]]</f>
        <v>54189</v>
      </c>
      <c r="O34" s="61">
        <f>Tabel13[[#This Row],[Maj.kulu
(55) 2]]*1.2</f>
        <v>0</v>
      </c>
      <c r="P34" s="62">
        <f>Tabel13[[#This Row],[Inv.
(15)3]]*1.22</f>
        <v>0</v>
      </c>
      <c r="Q34" s="69">
        <f>Tabel13[[#This Row],[Tööj.kulu
(50)3]]</f>
        <v>-4189</v>
      </c>
      <c r="R34" s="61">
        <f>Tabel13[[#This Row],[Maj.kulu
(55) 3]]*1.22</f>
        <v>0</v>
      </c>
      <c r="S34" s="62">
        <f>Tabel13[[#This Row],[Inv.
(15)4]]*1.22</f>
        <v>0</v>
      </c>
      <c r="T34" s="69">
        <f>Tabel13[[#This Row],[Tööj.kulu
(50)4]]</f>
        <v>50000</v>
      </c>
      <c r="U34" s="69">
        <f>Tabel13[[#This Row],[Maj.kulu
(55) 4]]*1.22</f>
        <v>0</v>
      </c>
    </row>
    <row r="35" spans="1:21" x14ac:dyDescent="0.25">
      <c r="A35" s="65">
        <v>67</v>
      </c>
      <c r="B35" s="66" t="s">
        <v>35</v>
      </c>
      <c r="C35" s="67" t="s">
        <v>93</v>
      </c>
      <c r="D35" s="68" t="s">
        <v>117</v>
      </c>
      <c r="E35" s="58">
        <f>SUM(Tabel134[[#This Row],[2023]]+Tabel134[[#This Row],[2024 lisanduv]])</f>
        <v>60000</v>
      </c>
      <c r="F35" s="59">
        <f>SUM(Tabel134[[#This Row],[Inv.
(15)]:[Maj.kulu
(55) ]])</f>
        <v>45158</v>
      </c>
      <c r="G35" s="59">
        <f>SUM(Tabel134[[#This Row],[Inv.
(15)2]:[Maj.kulu
(55) 2]])</f>
        <v>45158</v>
      </c>
      <c r="H35" s="59">
        <f>SUM(Tabel134[[#This Row],[Inv.
(15)3]:[Maj.kulu
(55) 3]])</f>
        <v>14842</v>
      </c>
      <c r="I35" s="60">
        <f>SUM(Tabel134[[#This Row],[Inv.
(15)4]:[Maj.kulu
(55) 4]])</f>
        <v>60000</v>
      </c>
      <c r="J35" s="69">
        <f>Tabel13[[#This Row],[Inv.
(15)]]*1.2</f>
        <v>0</v>
      </c>
      <c r="K35" s="69">
        <f>Tabel13[[#This Row],[Tööj.kulu
(50)]]</f>
        <v>45158</v>
      </c>
      <c r="L35" s="61">
        <f>Tabel13[[#This Row],[Maj.kulu
(55) ]]*1.2</f>
        <v>0</v>
      </c>
      <c r="M35" s="62">
        <f>Tabel13[[#This Row],[Inv.
(15)2]]*1.2</f>
        <v>0</v>
      </c>
      <c r="N35" s="69">
        <f>Tabel13[[#This Row],[Tööj.kulu
(50)2]]</f>
        <v>45158</v>
      </c>
      <c r="O35" s="61">
        <f>Tabel13[[#This Row],[Maj.kulu
(55) 2]]*1.2</f>
        <v>0</v>
      </c>
      <c r="P35" s="62">
        <f>Tabel13[[#This Row],[Inv.
(15)3]]*1.22</f>
        <v>0</v>
      </c>
      <c r="Q35" s="69">
        <f>Tabel13[[#This Row],[Tööj.kulu
(50)3]]</f>
        <v>14842</v>
      </c>
      <c r="R35" s="61">
        <f>Tabel13[[#This Row],[Maj.kulu
(55) 3]]*1.22</f>
        <v>0</v>
      </c>
      <c r="S35" s="62">
        <f>Tabel13[[#This Row],[Inv.
(15)4]]*1.22</f>
        <v>0</v>
      </c>
      <c r="T35" s="69">
        <f>Tabel13[[#This Row],[Tööj.kulu
(50)4]]</f>
        <v>60000</v>
      </c>
      <c r="U35" s="69">
        <f>Tabel13[[#This Row],[Maj.kulu
(55) 4]]*1.22</f>
        <v>0</v>
      </c>
    </row>
    <row r="36" spans="1:21" ht="30" x14ac:dyDescent="0.25">
      <c r="A36" s="65">
        <v>68</v>
      </c>
      <c r="B36" s="66" t="s">
        <v>106</v>
      </c>
      <c r="C36" s="67" t="s">
        <v>107</v>
      </c>
      <c r="D36" s="68" t="s">
        <v>115</v>
      </c>
      <c r="E36" s="58">
        <f>SUM(Tabel134[[#This Row],[2023]]+Tabel134[[#This Row],[2024 lisanduv]])</f>
        <v>104920</v>
      </c>
      <c r="F36" s="59">
        <f>SUM(Tabel134[[#This Row],[Inv.
(15)]:[Maj.kulu
(55) ]])</f>
        <v>0</v>
      </c>
      <c r="G36" s="59">
        <f>SUM(Tabel134[[#This Row],[Inv.
(15)2]:[Maj.kulu
(55) 2]])</f>
        <v>0</v>
      </c>
      <c r="H36" s="59">
        <f>SUM(Tabel134[[#This Row],[Inv.
(15)3]:[Maj.kulu
(55) 3]])</f>
        <v>104920</v>
      </c>
      <c r="I36" s="60">
        <f>SUM(Tabel134[[#This Row],[Inv.
(15)4]:[Maj.kulu
(55) 4]])</f>
        <v>104920</v>
      </c>
      <c r="J36" s="69">
        <f>Tabel13[[#This Row],[Inv.
(15)]]*1.2</f>
        <v>0</v>
      </c>
      <c r="K36" s="69">
        <f>Tabel13[[#This Row],[Tööj.kulu
(50)]]</f>
        <v>0</v>
      </c>
      <c r="L36" s="61">
        <f>Tabel13[[#This Row],[Maj.kulu
(55) ]]*1.2</f>
        <v>0</v>
      </c>
      <c r="M36" s="62">
        <f>Tabel13[[#This Row],[Inv.
(15)2]]*1.2</f>
        <v>0</v>
      </c>
      <c r="N36" s="69">
        <f>Tabel13[[#This Row],[Tööj.kulu
(50)2]]</f>
        <v>0</v>
      </c>
      <c r="O36" s="61">
        <f>Tabel13[[#This Row],[Maj.kulu
(55) 2]]*1.2</f>
        <v>0</v>
      </c>
      <c r="P36" s="62">
        <f>Tabel13[[#This Row],[Inv.
(15)3]]*1.22</f>
        <v>104920</v>
      </c>
      <c r="Q36" s="69">
        <f>Tabel13[[#This Row],[Tööj.kulu
(50)3]]</f>
        <v>0</v>
      </c>
      <c r="R36" s="61">
        <f>Tabel13[[#This Row],[Maj.kulu
(55) 3]]*1.22</f>
        <v>0</v>
      </c>
      <c r="S36" s="62">
        <f>Tabel13[[#This Row],[Inv.
(15)4]]*1.22</f>
        <v>104920</v>
      </c>
      <c r="T36" s="69">
        <f>Tabel13[[#This Row],[Tööj.kulu
(50)4]]</f>
        <v>0</v>
      </c>
      <c r="U36" s="69">
        <f>Tabel13[[#This Row],[Maj.kulu
(55) 4]]*1.22</f>
        <v>0</v>
      </c>
    </row>
    <row r="37" spans="1:21" ht="30" x14ac:dyDescent="0.25">
      <c r="A37" s="65">
        <v>69</v>
      </c>
      <c r="B37" s="66" t="s">
        <v>178</v>
      </c>
      <c r="C37" s="67" t="s">
        <v>107</v>
      </c>
      <c r="D37" s="68" t="s">
        <v>179</v>
      </c>
      <c r="E37" s="58">
        <f>SUM(Tabel134[[#This Row],[2023]]+Tabel134[[#This Row],[2024 lisanduv]])</f>
        <v>237412</v>
      </c>
      <c r="F37" s="59">
        <f>SUM(Tabel134[[#This Row],[Inv.
(15)]:[Maj.kulu
(55) ]])</f>
        <v>0</v>
      </c>
      <c r="G37" s="59">
        <f>SUM(Tabel134[[#This Row],[Inv.
(15)2]:[Maj.kulu
(55) 2]])</f>
        <v>0</v>
      </c>
      <c r="H37" s="59">
        <f>SUM(Tabel134[[#This Row],[Inv.
(15)3]:[Maj.kulu
(55) 3]])</f>
        <v>237412</v>
      </c>
      <c r="I37" s="60">
        <f>SUM(Tabel134[[#This Row],[Inv.
(15)4]:[Maj.kulu
(55) 4]])</f>
        <v>237412</v>
      </c>
      <c r="J37" s="69">
        <f>Tabel13[[#This Row],[Inv.
(15)]]*1.2</f>
        <v>0</v>
      </c>
      <c r="K37" s="69">
        <f>Tabel13[[#This Row],[Tööj.kulu
(50)]]</f>
        <v>0</v>
      </c>
      <c r="L37" s="61">
        <f>Tabel13[[#This Row],[Maj.kulu
(55) ]]*1.2</f>
        <v>0</v>
      </c>
      <c r="M37" s="62">
        <f>Tabel13[[#This Row],[Inv.
(15)2]]*1.2</f>
        <v>0</v>
      </c>
      <c r="N37" s="69">
        <f>Tabel13[[#This Row],[Tööj.kulu
(50)2]]</f>
        <v>0</v>
      </c>
      <c r="O37" s="61">
        <f>Tabel13[[#This Row],[Maj.kulu
(55) 2]]*1.2</f>
        <v>0</v>
      </c>
      <c r="P37" s="62">
        <f>Tabel13[[#This Row],[Inv.
(15)3]]*1.22</f>
        <v>237412</v>
      </c>
      <c r="Q37" s="69">
        <f>Tabel13[[#This Row],[Tööj.kulu
(50)3]]</f>
        <v>0</v>
      </c>
      <c r="R37" s="61">
        <f>Tabel13[[#This Row],[Maj.kulu
(55) 3]]*1.22</f>
        <v>0</v>
      </c>
      <c r="S37" s="62">
        <f>Tabel13[[#This Row],[Inv.
(15)4]]*1.22</f>
        <v>237412</v>
      </c>
      <c r="T37" s="69">
        <f>Tabel13[[#This Row],[Tööj.kulu
(50)4]]</f>
        <v>0</v>
      </c>
      <c r="U37" s="69">
        <f>Tabel13[[#This Row],[Maj.kulu
(55) 4]]*1.22</f>
        <v>0</v>
      </c>
    </row>
    <row r="38" spans="1:21" ht="30" x14ac:dyDescent="0.25">
      <c r="A38" s="65">
        <v>70</v>
      </c>
      <c r="B38" s="66" t="s">
        <v>184</v>
      </c>
      <c r="C38" s="67" t="s">
        <v>107</v>
      </c>
      <c r="D38" s="68" t="s">
        <v>180</v>
      </c>
      <c r="E38" s="58">
        <f>SUM(Tabel134[[#This Row],[2023]]+Tabel134[[#This Row],[2024 lisanduv]])</f>
        <v>183000</v>
      </c>
      <c r="F38" s="59">
        <f>SUM(Tabel134[[#This Row],[Inv.
(15)]:[Maj.kulu
(55) ]])</f>
        <v>0</v>
      </c>
      <c r="G38" s="59">
        <f>SUM(Tabel134[[#This Row],[Inv.
(15)2]:[Maj.kulu
(55) 2]])</f>
        <v>0</v>
      </c>
      <c r="H38" s="59">
        <f>SUM(Tabel134[[#This Row],[Inv.
(15)3]:[Maj.kulu
(55) 3]])</f>
        <v>183000</v>
      </c>
      <c r="I38" s="60">
        <f>SUM(Tabel134[[#This Row],[Inv.
(15)4]:[Maj.kulu
(55) 4]])</f>
        <v>183000</v>
      </c>
      <c r="J38" s="69">
        <f>Tabel13[[#This Row],[Inv.
(15)]]*1.2</f>
        <v>0</v>
      </c>
      <c r="K38" s="69">
        <f>Tabel13[[#This Row],[Tööj.kulu
(50)]]</f>
        <v>0</v>
      </c>
      <c r="L38" s="61">
        <f>Tabel13[[#This Row],[Maj.kulu
(55) ]]*1.2</f>
        <v>0</v>
      </c>
      <c r="M38" s="62">
        <f>Tabel13[[#This Row],[Inv.
(15)2]]*1.2</f>
        <v>0</v>
      </c>
      <c r="N38" s="69">
        <f>Tabel13[[#This Row],[Tööj.kulu
(50)2]]</f>
        <v>0</v>
      </c>
      <c r="O38" s="61">
        <f>Tabel13[[#This Row],[Maj.kulu
(55) 2]]*1.2</f>
        <v>0</v>
      </c>
      <c r="P38" s="62">
        <f>Tabel13[[#This Row],[Inv.
(15)3]]*1.22</f>
        <v>183000</v>
      </c>
      <c r="Q38" s="69">
        <f>Tabel13[[#This Row],[Tööj.kulu
(50)3]]</f>
        <v>0</v>
      </c>
      <c r="R38" s="61">
        <f>Tabel13[[#This Row],[Maj.kulu
(55) 3]]*1.22</f>
        <v>0</v>
      </c>
      <c r="S38" s="62">
        <f>Tabel13[[#This Row],[Inv.
(15)4]]*1.22</f>
        <v>183000</v>
      </c>
      <c r="T38" s="69">
        <f>Tabel13[[#This Row],[Tööj.kulu
(50)4]]</f>
        <v>0</v>
      </c>
      <c r="U38" s="69">
        <f>Tabel13[[#This Row],[Maj.kulu
(55) 4]]*1.22</f>
        <v>0</v>
      </c>
    </row>
    <row r="39" spans="1:21" ht="30" x14ac:dyDescent="0.25">
      <c r="A39" s="65">
        <v>71</v>
      </c>
      <c r="B39" s="66" t="s">
        <v>185</v>
      </c>
      <c r="C39" s="67" t="s">
        <v>107</v>
      </c>
      <c r="D39" s="68" t="s">
        <v>181</v>
      </c>
      <c r="E39" s="58">
        <f>SUM(Tabel134[[#This Row],[2023]]+Tabel134[[#This Row],[2024 lisanduv]])</f>
        <v>61000</v>
      </c>
      <c r="F39" s="59">
        <f>SUM(Tabel134[[#This Row],[Inv.
(15)]:[Maj.kulu
(55) ]])</f>
        <v>0</v>
      </c>
      <c r="G39" s="59">
        <f>SUM(Tabel134[[#This Row],[Inv.
(15)2]:[Maj.kulu
(55) 2]])</f>
        <v>0</v>
      </c>
      <c r="H39" s="59">
        <f>SUM(Tabel134[[#This Row],[Inv.
(15)3]:[Maj.kulu
(55) 3]])</f>
        <v>61000</v>
      </c>
      <c r="I39" s="60">
        <f>SUM(Tabel134[[#This Row],[Inv.
(15)4]:[Maj.kulu
(55) 4]])</f>
        <v>61000</v>
      </c>
      <c r="J39" s="69">
        <f>Tabel13[[#This Row],[Inv.
(15)]]*1.2</f>
        <v>0</v>
      </c>
      <c r="K39" s="69">
        <f>Tabel13[[#This Row],[Tööj.kulu
(50)]]</f>
        <v>0</v>
      </c>
      <c r="L39" s="61">
        <f>Tabel13[[#This Row],[Maj.kulu
(55) ]]*1.2</f>
        <v>0</v>
      </c>
      <c r="M39" s="62">
        <f>Tabel13[[#This Row],[Inv.
(15)2]]*1.2</f>
        <v>0</v>
      </c>
      <c r="N39" s="69">
        <f>Tabel13[[#This Row],[Tööj.kulu
(50)2]]</f>
        <v>0</v>
      </c>
      <c r="O39" s="61">
        <f>Tabel13[[#This Row],[Maj.kulu
(55) 2]]*1.2</f>
        <v>0</v>
      </c>
      <c r="P39" s="62">
        <f>Tabel13[[#This Row],[Inv.
(15)3]]*1.22</f>
        <v>61000</v>
      </c>
      <c r="Q39" s="69">
        <f>Tabel13[[#This Row],[Tööj.kulu
(50)3]]</f>
        <v>0</v>
      </c>
      <c r="R39" s="61">
        <f>Tabel13[[#This Row],[Maj.kulu
(55) 3]]*1.22</f>
        <v>0</v>
      </c>
      <c r="S39" s="62">
        <f>Tabel13[[#This Row],[Inv.
(15)4]]*1.22</f>
        <v>61000</v>
      </c>
      <c r="T39" s="69">
        <f>Tabel13[[#This Row],[Tööj.kulu
(50)4]]</f>
        <v>0</v>
      </c>
      <c r="U39" s="69">
        <f>Tabel13[[#This Row],[Maj.kulu
(55) 4]]*1.22</f>
        <v>0</v>
      </c>
    </row>
    <row r="40" spans="1:21" ht="30" x14ac:dyDescent="0.25">
      <c r="A40" s="65">
        <v>72</v>
      </c>
      <c r="B40" s="66" t="s">
        <v>186</v>
      </c>
      <c r="C40" s="67" t="s">
        <v>107</v>
      </c>
      <c r="D40" s="68" t="s">
        <v>182</v>
      </c>
      <c r="E40" s="58">
        <f>SUM(Tabel134[[#This Row],[2023]]+Tabel134[[#This Row],[2024 lisanduv]])</f>
        <v>610000</v>
      </c>
      <c r="F40" s="59">
        <f>SUM(Tabel134[[#This Row],[Inv.
(15)]:[Maj.kulu
(55) ]])</f>
        <v>0</v>
      </c>
      <c r="G40" s="59">
        <f>SUM(Tabel134[[#This Row],[Inv.
(15)2]:[Maj.kulu
(55) 2]])</f>
        <v>0</v>
      </c>
      <c r="H40" s="59">
        <f>SUM(Tabel134[[#This Row],[Inv.
(15)3]:[Maj.kulu
(55) 3]])</f>
        <v>610000</v>
      </c>
      <c r="I40" s="60">
        <f>SUM(Tabel134[[#This Row],[Inv.
(15)4]:[Maj.kulu
(55) 4]])</f>
        <v>610000</v>
      </c>
      <c r="J40" s="69">
        <f>Tabel13[[#This Row],[Inv.
(15)]]*1.2</f>
        <v>0</v>
      </c>
      <c r="K40" s="69">
        <f>Tabel13[[#This Row],[Tööj.kulu
(50)]]</f>
        <v>0</v>
      </c>
      <c r="L40" s="61">
        <f>Tabel13[[#This Row],[Maj.kulu
(55) ]]*1.2</f>
        <v>0</v>
      </c>
      <c r="M40" s="62">
        <f>Tabel13[[#This Row],[Inv.
(15)2]]*1.2</f>
        <v>0</v>
      </c>
      <c r="N40" s="69">
        <f>Tabel13[[#This Row],[Tööj.kulu
(50)2]]</f>
        <v>0</v>
      </c>
      <c r="O40" s="61">
        <f>Tabel13[[#This Row],[Maj.kulu
(55) 2]]*1.2</f>
        <v>0</v>
      </c>
      <c r="P40" s="62">
        <f>Tabel13[[#This Row],[Inv.
(15)3]]*1.22</f>
        <v>610000</v>
      </c>
      <c r="Q40" s="69">
        <f>Tabel13[[#This Row],[Tööj.kulu
(50)3]]</f>
        <v>0</v>
      </c>
      <c r="R40" s="61">
        <f>Tabel13[[#This Row],[Maj.kulu
(55) 3]]*1.22</f>
        <v>0</v>
      </c>
      <c r="S40" s="62">
        <f>Tabel13[[#This Row],[Inv.
(15)4]]*1.22</f>
        <v>610000</v>
      </c>
      <c r="T40" s="69">
        <f>Tabel13[[#This Row],[Tööj.kulu
(50)4]]</f>
        <v>0</v>
      </c>
      <c r="U40" s="69">
        <f>Tabel13[[#This Row],[Maj.kulu
(55) 4]]*1.22</f>
        <v>0</v>
      </c>
    </row>
    <row r="41" spans="1:21" ht="30" x14ac:dyDescent="0.25">
      <c r="A41" s="65">
        <v>73</v>
      </c>
      <c r="B41" s="66" t="s">
        <v>186</v>
      </c>
      <c r="C41" s="67" t="s">
        <v>107</v>
      </c>
      <c r="D41" s="68" t="s">
        <v>183</v>
      </c>
      <c r="E41" s="58">
        <f>SUM(Tabel134[[#This Row],[2023]]+Tabel134[[#This Row],[2024 lisanduv]])</f>
        <v>61000</v>
      </c>
      <c r="F41" s="59">
        <f>SUM(Tabel134[[#This Row],[Inv.
(15)]:[Maj.kulu
(55) ]])</f>
        <v>0</v>
      </c>
      <c r="G41" s="59">
        <f>SUM(Tabel134[[#This Row],[Inv.
(15)2]:[Maj.kulu
(55) 2]])</f>
        <v>0</v>
      </c>
      <c r="H41" s="59">
        <f>SUM(Tabel134[[#This Row],[Inv.
(15)3]:[Maj.kulu
(55) 3]])</f>
        <v>61000</v>
      </c>
      <c r="I41" s="60">
        <f>SUM(Tabel134[[#This Row],[Inv.
(15)4]:[Maj.kulu
(55) 4]])</f>
        <v>61000</v>
      </c>
      <c r="J41" s="69">
        <f>Tabel13[[#This Row],[Inv.
(15)]]*1.2</f>
        <v>0</v>
      </c>
      <c r="K41" s="69">
        <f>Tabel13[[#This Row],[Tööj.kulu
(50)]]</f>
        <v>0</v>
      </c>
      <c r="L41" s="61">
        <f>Tabel13[[#This Row],[Maj.kulu
(55) ]]*1.2</f>
        <v>0</v>
      </c>
      <c r="M41" s="62">
        <f>Tabel13[[#This Row],[Inv.
(15)2]]*1.2</f>
        <v>0</v>
      </c>
      <c r="N41" s="69">
        <f>Tabel13[[#This Row],[Tööj.kulu
(50)2]]</f>
        <v>0</v>
      </c>
      <c r="O41" s="61">
        <f>Tabel13[[#This Row],[Maj.kulu
(55) 2]]*1.2</f>
        <v>0</v>
      </c>
      <c r="P41" s="62">
        <f>Tabel13[[#This Row],[Inv.
(15)3]]*1.22</f>
        <v>61000</v>
      </c>
      <c r="Q41" s="69">
        <f>Tabel13[[#This Row],[Tööj.kulu
(50)3]]</f>
        <v>0</v>
      </c>
      <c r="R41" s="61">
        <f>Tabel13[[#This Row],[Maj.kulu
(55) 3]]*1.22</f>
        <v>0</v>
      </c>
      <c r="S41" s="62">
        <f>Tabel13[[#This Row],[Inv.
(15)4]]*1.22</f>
        <v>61000</v>
      </c>
      <c r="T41" s="69">
        <f>Tabel13[[#This Row],[Tööj.kulu
(50)4]]</f>
        <v>0</v>
      </c>
      <c r="U41" s="69">
        <f>Tabel13[[#This Row],[Maj.kulu
(55) 4]]*1.22</f>
        <v>0</v>
      </c>
    </row>
    <row r="42" spans="1:21" ht="30" x14ac:dyDescent="0.25">
      <c r="A42" s="65">
        <v>74</v>
      </c>
      <c r="B42" s="66" t="s">
        <v>187</v>
      </c>
      <c r="C42" s="67" t="s">
        <v>107</v>
      </c>
      <c r="D42" s="74" t="s">
        <v>188</v>
      </c>
      <c r="E42" s="75">
        <f>SUM(Tabel134[[#This Row],[2023]]+Tabel134[[#This Row],[2024 lisanduv]])</f>
        <v>366000</v>
      </c>
      <c r="F42" s="76">
        <f>SUM(Tabel134[[#This Row],[Inv.
(15)]:[Maj.kulu
(55) ]])</f>
        <v>0</v>
      </c>
      <c r="G42" s="76">
        <f>SUM(Tabel134[[#This Row],[Inv.
(15)2]:[Maj.kulu
(55) 2]])</f>
        <v>0</v>
      </c>
      <c r="H42" s="76">
        <f>SUM(Tabel134[[#This Row],[Inv.
(15)3]:[Maj.kulu
(55) 3]])</f>
        <v>366000</v>
      </c>
      <c r="I42" s="77">
        <f>SUM(Tabel134[[#This Row],[Inv.
(15)4]:[Maj.kulu
(55) 4]])</f>
        <v>366000</v>
      </c>
      <c r="J42" s="78">
        <f>Tabel13[[#This Row],[Inv.
(15)]]*1.2</f>
        <v>0</v>
      </c>
      <c r="K42" s="78">
        <f>Tabel13[[#This Row],[Tööj.kulu
(50)]]</f>
        <v>0</v>
      </c>
      <c r="L42" s="79">
        <f>Tabel13[[#This Row],[Maj.kulu
(55) ]]*1.2</f>
        <v>0</v>
      </c>
      <c r="M42" s="80">
        <f>Tabel13[[#This Row],[Inv.
(15)2]]*1.2</f>
        <v>0</v>
      </c>
      <c r="N42" s="78">
        <f>Tabel13[[#This Row],[Tööj.kulu
(50)2]]</f>
        <v>0</v>
      </c>
      <c r="O42" s="79">
        <f>Tabel13[[#This Row],[Maj.kulu
(55) 2]]*1.2</f>
        <v>0</v>
      </c>
      <c r="P42" s="80">
        <f>Tabel13[[#This Row],[Inv.
(15)3]]*1.22</f>
        <v>366000</v>
      </c>
      <c r="Q42" s="78">
        <f>Tabel13[[#This Row],[Tööj.kulu
(50)3]]</f>
        <v>0</v>
      </c>
      <c r="R42" s="79">
        <f>Tabel13[[#This Row],[Maj.kulu
(55) 3]]*1.22</f>
        <v>0</v>
      </c>
      <c r="S42" s="80">
        <f>Tabel13[[#This Row],[Inv.
(15)4]]*1.22</f>
        <v>366000</v>
      </c>
      <c r="T42" s="78">
        <f>Tabel13[[#This Row],[Tööj.kulu
(50)4]]</f>
        <v>0</v>
      </c>
      <c r="U42" s="78">
        <f>Tabel13[[#This Row],[Maj.kulu
(55) 4]]*1.22</f>
        <v>0</v>
      </c>
    </row>
    <row r="43" spans="1:21" ht="30" x14ac:dyDescent="0.25">
      <c r="A43" s="65">
        <v>75</v>
      </c>
      <c r="B43" s="66" t="s">
        <v>114</v>
      </c>
      <c r="C43" s="67" t="s">
        <v>107</v>
      </c>
      <c r="D43" s="68" t="s">
        <v>115</v>
      </c>
      <c r="E43" s="58">
        <f>SUM(Tabel134[[#This Row],[2023]]+Tabel134[[#This Row],[2024 lisanduv]])</f>
        <v>201300</v>
      </c>
      <c r="F43" s="59">
        <f>SUM(Tabel134[[#This Row],[Inv.
(15)]:[Maj.kulu
(55) ]])</f>
        <v>0</v>
      </c>
      <c r="G43" s="59">
        <f>SUM(Tabel134[[#This Row],[Inv.
(15)2]:[Maj.kulu
(55) 2]])</f>
        <v>0</v>
      </c>
      <c r="H43" s="59">
        <f>SUM(Tabel134[[#This Row],[Inv.
(15)3]:[Maj.kulu
(55) 3]])</f>
        <v>201300</v>
      </c>
      <c r="I43" s="60">
        <f>SUM(Tabel134[[#This Row],[Inv.
(15)4]:[Maj.kulu
(55) 4]])</f>
        <v>201300</v>
      </c>
      <c r="J43" s="69">
        <f>Tabel13[[#This Row],[Inv.
(15)]]*1.2</f>
        <v>0</v>
      </c>
      <c r="K43" s="69">
        <f>Tabel13[[#This Row],[Tööj.kulu
(50)]]</f>
        <v>0</v>
      </c>
      <c r="L43" s="61">
        <f>Tabel13[[#This Row],[Maj.kulu
(55) ]]*1.2</f>
        <v>0</v>
      </c>
      <c r="M43" s="62">
        <f>Tabel13[[#This Row],[Inv.
(15)2]]*1.2</f>
        <v>0</v>
      </c>
      <c r="N43" s="69">
        <f>Tabel13[[#This Row],[Tööj.kulu
(50)2]]</f>
        <v>0</v>
      </c>
      <c r="O43" s="61">
        <f>Tabel13[[#This Row],[Maj.kulu
(55) 2]]*1.2</f>
        <v>0</v>
      </c>
      <c r="P43" s="62">
        <f>Tabel13[[#This Row],[Inv.
(15)3]]*1.22</f>
        <v>201300</v>
      </c>
      <c r="Q43" s="69">
        <f>Tabel13[[#This Row],[Tööj.kulu
(50)3]]</f>
        <v>0</v>
      </c>
      <c r="R43" s="61">
        <f>Tabel13[[#This Row],[Maj.kulu
(55) 3]]*1.22</f>
        <v>0</v>
      </c>
      <c r="S43" s="62">
        <f>Tabel13[[#This Row],[Inv.
(15)4]]*1.22</f>
        <v>201300</v>
      </c>
      <c r="T43" s="69">
        <f>Tabel13[[#This Row],[Tööj.kulu
(50)4]]</f>
        <v>0</v>
      </c>
      <c r="U43" s="69">
        <f>Tabel13[[#This Row],[Maj.kulu
(55) 4]]*1.22</f>
        <v>0</v>
      </c>
    </row>
    <row r="44" spans="1:21" ht="30" x14ac:dyDescent="0.25">
      <c r="A44" s="65">
        <v>76</v>
      </c>
      <c r="B44" s="66" t="s">
        <v>35</v>
      </c>
      <c r="C44" s="67" t="s">
        <v>118</v>
      </c>
      <c r="D44" s="68" t="s">
        <v>119</v>
      </c>
      <c r="E44" s="58">
        <f>SUM(Tabel134[[#This Row],[2023]]+Tabel134[[#This Row],[2024 lisanduv]])</f>
        <v>550300</v>
      </c>
      <c r="F44" s="59">
        <f>SUM(Tabel134[[#This Row],[Inv.
(15)]:[Maj.kulu
(55) ]])</f>
        <v>105000</v>
      </c>
      <c r="G44" s="59">
        <f>SUM(Tabel134[[#This Row],[Inv.
(15)2]:[Maj.kulu
(55) 2]])</f>
        <v>105000</v>
      </c>
      <c r="H44" s="59">
        <f>SUM(Tabel134[[#This Row],[Inv.
(15)3]:[Maj.kulu
(55) 3]])</f>
        <v>445300</v>
      </c>
      <c r="I44" s="60">
        <f>SUM(Tabel134[[#This Row],[Inv.
(15)4]:[Maj.kulu
(55) 4]])</f>
        <v>552050</v>
      </c>
      <c r="J44" s="69">
        <f>Tabel13[[#This Row],[Inv.
(15)]]*1.2</f>
        <v>105000</v>
      </c>
      <c r="K44" s="69">
        <f>Tabel13[[#This Row],[Tööj.kulu
(50)]]</f>
        <v>0</v>
      </c>
      <c r="L44" s="61">
        <f>Tabel13[[#This Row],[Maj.kulu
(55) ]]*1.2</f>
        <v>0</v>
      </c>
      <c r="M44" s="62">
        <f>Tabel13[[#This Row],[Inv.
(15)2]]*1.2</f>
        <v>105000</v>
      </c>
      <c r="N44" s="69">
        <f>Tabel13[[#This Row],[Tööj.kulu
(50)2]]</f>
        <v>0</v>
      </c>
      <c r="O44" s="61">
        <f>Tabel13[[#This Row],[Maj.kulu
(55) 2]]*1.2</f>
        <v>0</v>
      </c>
      <c r="P44" s="62">
        <f>Tabel13[[#This Row],[Inv.
(15)3]]*1.22</f>
        <v>445300</v>
      </c>
      <c r="Q44" s="69">
        <f>Tabel13[[#This Row],[Tööj.kulu
(50)3]]</f>
        <v>0</v>
      </c>
      <c r="R44" s="61">
        <f>Tabel13[[#This Row],[Maj.kulu
(55) 3]]*1.22</f>
        <v>0</v>
      </c>
      <c r="S44" s="62">
        <f>Tabel13[[#This Row],[Inv.
(15)4]]*1.22</f>
        <v>552050</v>
      </c>
      <c r="T44" s="69">
        <f>Tabel13[[#This Row],[Tööj.kulu
(50)4]]</f>
        <v>0</v>
      </c>
      <c r="U44" s="69">
        <f>Tabel13[[#This Row],[Maj.kulu
(55) 4]]*1.22</f>
        <v>0</v>
      </c>
    </row>
    <row r="45" spans="1:21" x14ac:dyDescent="0.25">
      <c r="A45" s="65">
        <v>77</v>
      </c>
      <c r="B45" s="66" t="s">
        <v>35</v>
      </c>
      <c r="C45" s="67" t="s">
        <v>118</v>
      </c>
      <c r="D45" s="68" t="s">
        <v>120</v>
      </c>
      <c r="E45" s="58">
        <f>SUM(Tabel134[[#This Row],[2023]]+Tabel134[[#This Row],[2024 lisanduv]])</f>
        <v>50000</v>
      </c>
      <c r="F45" s="59">
        <f>SUM(Tabel134[[#This Row],[Inv.
(15)]:[Maj.kulu
(55) ]])</f>
        <v>52300</v>
      </c>
      <c r="G45" s="59">
        <f>SUM(Tabel134[[#This Row],[Inv.
(15)2]:[Maj.kulu
(55) 2]])</f>
        <v>52300</v>
      </c>
      <c r="H45" s="59">
        <f>SUM(Tabel134[[#This Row],[Inv.
(15)3]:[Maj.kulu
(55) 3]])</f>
        <v>-2300</v>
      </c>
      <c r="I45" s="60">
        <f>SUM(Tabel134[[#This Row],[Inv.
(15)4]:[Maj.kulu
(55) 4]])</f>
        <v>50000</v>
      </c>
      <c r="J45" s="69">
        <f>Tabel13[[#This Row],[Inv.
(15)]]*1.2</f>
        <v>0</v>
      </c>
      <c r="K45" s="69">
        <f>Tabel13[[#This Row],[Tööj.kulu
(50)]]</f>
        <v>52300</v>
      </c>
      <c r="L45" s="61">
        <f>Tabel13[[#This Row],[Maj.kulu
(55) ]]*1.2</f>
        <v>0</v>
      </c>
      <c r="M45" s="62">
        <f>Tabel13[[#This Row],[Inv.
(15)2]]*1.2</f>
        <v>0</v>
      </c>
      <c r="N45" s="69">
        <f>Tabel13[[#This Row],[Tööj.kulu
(50)2]]</f>
        <v>52300</v>
      </c>
      <c r="O45" s="61">
        <f>Tabel13[[#This Row],[Maj.kulu
(55) 2]]*1.2</f>
        <v>0</v>
      </c>
      <c r="P45" s="62">
        <f>Tabel13[[#This Row],[Inv.
(15)3]]*1.22</f>
        <v>0</v>
      </c>
      <c r="Q45" s="69">
        <f>Tabel13[[#This Row],[Tööj.kulu
(50)3]]</f>
        <v>-2300</v>
      </c>
      <c r="R45" s="61">
        <f>Tabel13[[#This Row],[Maj.kulu
(55) 3]]*1.22</f>
        <v>0</v>
      </c>
      <c r="S45" s="62">
        <f>Tabel13[[#This Row],[Inv.
(15)4]]*1.22</f>
        <v>0</v>
      </c>
      <c r="T45" s="69">
        <f>Tabel13[[#This Row],[Tööj.kulu
(50)4]]</f>
        <v>50000</v>
      </c>
      <c r="U45" s="69">
        <f>Tabel13[[#This Row],[Maj.kulu
(55) 4]]*1.22</f>
        <v>0</v>
      </c>
    </row>
    <row r="46" spans="1:21" ht="30" x14ac:dyDescent="0.25">
      <c r="A46" s="65">
        <v>78</v>
      </c>
      <c r="B46" s="66" t="s">
        <v>35</v>
      </c>
      <c r="C46" s="67" t="s">
        <v>118</v>
      </c>
      <c r="D46" s="68" t="s">
        <v>121</v>
      </c>
      <c r="E46" s="58">
        <f>SUM(Tabel134[[#This Row],[2023]]+Tabel134[[#This Row],[2024 lisanduv]])</f>
        <v>458968</v>
      </c>
      <c r="F46" s="59">
        <f>SUM(Tabel134[[#This Row],[Inv.
(15)]:[Maj.kulu
(55) ]])</f>
        <v>190080</v>
      </c>
      <c r="G46" s="59">
        <f>SUM(Tabel134[[#This Row],[Inv.
(15)2]:[Maj.kulu
(55) 2]])</f>
        <v>190080</v>
      </c>
      <c r="H46" s="59">
        <f>SUM(Tabel134[[#This Row],[Inv.
(15)3]:[Maj.kulu
(55) 3]])</f>
        <v>268888</v>
      </c>
      <c r="I46" s="60">
        <f>SUM(Tabel134[[#This Row],[Inv.
(15)4]:[Maj.kulu
(55) 4]])</f>
        <v>462136</v>
      </c>
      <c r="J46" s="69">
        <f>Tabel13[[#This Row],[Inv.
(15)]]*1.2</f>
        <v>190080</v>
      </c>
      <c r="K46" s="69">
        <f>Tabel13[[#This Row],[Tööj.kulu
(50)]]</f>
        <v>0</v>
      </c>
      <c r="L46" s="61">
        <f>Tabel13[[#This Row],[Maj.kulu
(55) ]]*1.2</f>
        <v>0</v>
      </c>
      <c r="M46" s="62">
        <f>Tabel13[[#This Row],[Inv.
(15)2]]*1.2</f>
        <v>190080</v>
      </c>
      <c r="N46" s="69">
        <f>Tabel13[[#This Row],[Tööj.kulu
(50)2]]</f>
        <v>0</v>
      </c>
      <c r="O46" s="61">
        <f>Tabel13[[#This Row],[Maj.kulu
(55) 2]]*1.2</f>
        <v>0</v>
      </c>
      <c r="P46" s="62">
        <f>Tabel13[[#This Row],[Inv.
(15)3]]*1.22</f>
        <v>268888</v>
      </c>
      <c r="Q46" s="69">
        <f>Tabel13[[#This Row],[Tööj.kulu
(50)3]]</f>
        <v>0</v>
      </c>
      <c r="R46" s="61">
        <f>Tabel13[[#This Row],[Maj.kulu
(55) 3]]*1.22</f>
        <v>0</v>
      </c>
      <c r="S46" s="62">
        <f>Tabel13[[#This Row],[Inv.
(15)4]]*1.22</f>
        <v>462136</v>
      </c>
      <c r="T46" s="69">
        <f>Tabel13[[#This Row],[Tööj.kulu
(50)4]]</f>
        <v>0</v>
      </c>
      <c r="U46" s="69">
        <f>Tabel13[[#This Row],[Maj.kulu
(55) 4]]*1.22</f>
        <v>0</v>
      </c>
    </row>
    <row r="47" spans="1:21" x14ac:dyDescent="0.25">
      <c r="A47" s="65">
        <v>79</v>
      </c>
      <c r="B47" s="66" t="s">
        <v>35</v>
      </c>
      <c r="C47" s="67" t="s">
        <v>118</v>
      </c>
      <c r="D47" s="68" t="s">
        <v>122</v>
      </c>
      <c r="E47" s="58">
        <f>SUM(Tabel134[[#This Row],[2023]]+Tabel134[[#This Row],[2024 lisanduv]])</f>
        <v>507060.45999999996</v>
      </c>
      <c r="F47" s="59">
        <f>SUM(Tabel134[[#This Row],[Inv.
(15)]:[Maj.kulu
(55) ]])</f>
        <v>60000</v>
      </c>
      <c r="G47" s="59">
        <f>SUM(Tabel134[[#This Row],[Inv.
(15)2]:[Maj.kulu
(55) 2]])</f>
        <v>-59731.199999999997</v>
      </c>
      <c r="H47" s="59">
        <f>SUM(Tabel134[[#This Row],[Inv.
(15)3]:[Maj.kulu
(55) 3]])</f>
        <v>447060.45999999996</v>
      </c>
      <c r="I47" s="60">
        <f>SUM(Tabel134[[#This Row],[Inv.
(15)4]:[Maj.kulu
(55) 4]])</f>
        <v>386333.74</v>
      </c>
      <c r="J47" s="69">
        <f>Tabel13[[#This Row],[Inv.
(15)]]*1.2</f>
        <v>60000</v>
      </c>
      <c r="K47" s="69">
        <f>Tabel13[[#This Row],[Tööj.kulu
(50)]]</f>
        <v>0</v>
      </c>
      <c r="L47" s="61">
        <f>Tabel13[[#This Row],[Maj.kulu
(55) ]]*1.2</f>
        <v>0</v>
      </c>
      <c r="M47" s="62">
        <f>Tabel13[[#This Row],[Inv.
(15)2]]*1.2</f>
        <v>-59731.199999999997</v>
      </c>
      <c r="N47" s="69">
        <f>Tabel13[[#This Row],[Tööj.kulu
(50)2]]</f>
        <v>0</v>
      </c>
      <c r="O47" s="61">
        <f>Tabel13[[#This Row],[Maj.kulu
(55) 2]]*1.2</f>
        <v>0</v>
      </c>
      <c r="P47" s="62">
        <f>Tabel13[[#This Row],[Inv.
(15)3]]*1.22</f>
        <v>447060.45999999996</v>
      </c>
      <c r="Q47" s="69">
        <f>Tabel13[[#This Row],[Tööj.kulu
(50)3]]</f>
        <v>0</v>
      </c>
      <c r="R47" s="61">
        <f>Tabel13[[#This Row],[Maj.kulu
(55) 3]]*1.22</f>
        <v>0</v>
      </c>
      <c r="S47" s="62">
        <f>Tabel13[[#This Row],[Inv.
(15)4]]*1.22</f>
        <v>386333.74</v>
      </c>
      <c r="T47" s="69">
        <f>Tabel13[[#This Row],[Tööj.kulu
(50)4]]</f>
        <v>0</v>
      </c>
      <c r="U47" s="69">
        <f>Tabel13[[#This Row],[Maj.kulu
(55) 4]]*1.22</f>
        <v>0</v>
      </c>
    </row>
    <row r="48" spans="1:21" x14ac:dyDescent="0.25">
      <c r="A48" s="65">
        <v>80</v>
      </c>
      <c r="B48" s="66" t="s">
        <v>35</v>
      </c>
      <c r="C48" s="67" t="s">
        <v>118</v>
      </c>
      <c r="D48" s="68" t="s">
        <v>123</v>
      </c>
      <c r="E48" s="58">
        <f>SUM(Tabel134[[#This Row],[2023]]+Tabel134[[#This Row],[2024 lisanduv]])</f>
        <v>266709.08</v>
      </c>
      <c r="F48" s="59">
        <f>SUM(Tabel134[[#This Row],[Inv.
(15)]:[Maj.kulu
(55) ]])</f>
        <v>0</v>
      </c>
      <c r="G48" s="59">
        <f>SUM(Tabel134[[#This Row],[Inv.
(15)2]:[Maj.kulu
(55) 2]])</f>
        <v>0</v>
      </c>
      <c r="H48" s="59">
        <f>SUM(Tabel134[[#This Row],[Inv.
(15)3]:[Maj.kulu
(55) 3]])</f>
        <v>266709.08</v>
      </c>
      <c r="I48" s="60">
        <f>SUM(Tabel134[[#This Row],[Inv.
(15)4]:[Maj.kulu
(55) 4]])</f>
        <v>266709.08</v>
      </c>
      <c r="J48" s="69">
        <f>Tabel13[[#This Row],[Inv.
(15)]]*1.2</f>
        <v>0</v>
      </c>
      <c r="K48" s="69">
        <f>Tabel13[[#This Row],[Tööj.kulu
(50)]]</f>
        <v>0</v>
      </c>
      <c r="L48" s="61">
        <f>Tabel13[[#This Row],[Maj.kulu
(55) ]]*1.2</f>
        <v>0</v>
      </c>
      <c r="M48" s="62">
        <f>Tabel13[[#This Row],[Inv.
(15)2]]*1.2</f>
        <v>0</v>
      </c>
      <c r="N48" s="69">
        <f>Tabel13[[#This Row],[Tööj.kulu
(50)2]]</f>
        <v>0</v>
      </c>
      <c r="O48" s="61">
        <f>Tabel13[[#This Row],[Maj.kulu
(55) 2]]*1.2</f>
        <v>0</v>
      </c>
      <c r="P48" s="62">
        <f>Tabel13[[#This Row],[Inv.
(15)3]]*1.22</f>
        <v>266709.08</v>
      </c>
      <c r="Q48" s="69">
        <f>Tabel13[[#This Row],[Tööj.kulu
(50)3]]</f>
        <v>0</v>
      </c>
      <c r="R48" s="61">
        <f>Tabel13[[#This Row],[Maj.kulu
(55) 3]]*1.22</f>
        <v>0</v>
      </c>
      <c r="S48" s="62">
        <f>Tabel13[[#This Row],[Inv.
(15)4]]*1.22</f>
        <v>266709.08</v>
      </c>
      <c r="T48" s="69">
        <f>Tabel13[[#This Row],[Tööj.kulu
(50)4]]</f>
        <v>0</v>
      </c>
      <c r="U48" s="69">
        <f>Tabel13[[#This Row],[Maj.kulu
(55) 4]]*1.22</f>
        <v>0</v>
      </c>
    </row>
    <row r="49" spans="1:21" ht="30" x14ac:dyDescent="0.25">
      <c r="A49" s="65">
        <v>81</v>
      </c>
      <c r="B49" s="66" t="s">
        <v>35</v>
      </c>
      <c r="C49" s="67" t="s">
        <v>118</v>
      </c>
      <c r="D49" s="68" t="s">
        <v>124</v>
      </c>
      <c r="E49" s="58">
        <f>SUM(Tabel134[[#This Row],[2023]]+Tabel134[[#This Row],[2024 lisanduv]])</f>
        <v>124999.98</v>
      </c>
      <c r="F49" s="59">
        <f>SUM(Tabel134[[#This Row],[Inv.
(15)]:[Maj.kulu
(55) ]])</f>
        <v>0</v>
      </c>
      <c r="G49" s="59">
        <f>SUM(Tabel134[[#This Row],[Inv.
(15)2]:[Maj.kulu
(55) 2]])</f>
        <v>0</v>
      </c>
      <c r="H49" s="59">
        <f>SUM(Tabel134[[#This Row],[Inv.
(15)3]:[Maj.kulu
(55) 3]])</f>
        <v>124999.98</v>
      </c>
      <c r="I49" s="60">
        <f>SUM(Tabel134[[#This Row],[Inv.
(15)4]:[Maj.kulu
(55) 4]])</f>
        <v>124999.98</v>
      </c>
      <c r="J49" s="69">
        <f>Tabel13[[#This Row],[Inv.
(15)]]*1.2</f>
        <v>0</v>
      </c>
      <c r="K49" s="69">
        <f>Tabel13[[#This Row],[Tööj.kulu
(50)]]</f>
        <v>0</v>
      </c>
      <c r="L49" s="61">
        <f>Tabel13[[#This Row],[Maj.kulu
(55) ]]*1.2</f>
        <v>0</v>
      </c>
      <c r="M49" s="62">
        <f>Tabel13[[#This Row],[Inv.
(15)2]]*1.2</f>
        <v>0</v>
      </c>
      <c r="N49" s="69">
        <f>Tabel13[[#This Row],[Tööj.kulu
(50)2]]</f>
        <v>0</v>
      </c>
      <c r="O49" s="61">
        <f>Tabel13[[#This Row],[Maj.kulu
(55) 2]]*1.2</f>
        <v>0</v>
      </c>
      <c r="P49" s="62">
        <f>Tabel13[[#This Row],[Inv.
(15)3]]*1.22</f>
        <v>124999.98</v>
      </c>
      <c r="Q49" s="69">
        <f>Tabel13[[#This Row],[Tööj.kulu
(50)3]]</f>
        <v>0</v>
      </c>
      <c r="R49" s="61">
        <f>Tabel13[[#This Row],[Maj.kulu
(55) 3]]*1.22</f>
        <v>0</v>
      </c>
      <c r="S49" s="62">
        <f>Tabel13[[#This Row],[Inv.
(15)4]]*1.22</f>
        <v>124999.98</v>
      </c>
      <c r="T49" s="69">
        <f>Tabel13[[#This Row],[Tööj.kulu
(50)4]]</f>
        <v>0</v>
      </c>
      <c r="U49" s="69">
        <f>Tabel13[[#This Row],[Maj.kulu
(55) 4]]*1.22</f>
        <v>0</v>
      </c>
    </row>
    <row r="50" spans="1:21" ht="60" x14ac:dyDescent="0.25">
      <c r="A50" s="65">
        <v>82</v>
      </c>
      <c r="B50" s="66" t="s">
        <v>35</v>
      </c>
      <c r="C50" s="67" t="s">
        <v>118</v>
      </c>
      <c r="D50" s="68" t="s">
        <v>125</v>
      </c>
      <c r="E50" s="58">
        <f>SUM(Tabel134[[#This Row],[2023]]+Tabel134[[#This Row],[2024 lisanduv]])</f>
        <v>202520</v>
      </c>
      <c r="F50" s="59">
        <f>SUM(Tabel134[[#This Row],[Inv.
(15)]:[Maj.kulu
(55) ]])</f>
        <v>0</v>
      </c>
      <c r="G50" s="59">
        <f>SUM(Tabel134[[#This Row],[Inv.
(15)2]:[Maj.kulu
(55) 2]])</f>
        <v>0</v>
      </c>
      <c r="H50" s="59">
        <f>SUM(Tabel134[[#This Row],[Inv.
(15)3]:[Maj.kulu
(55) 3]])</f>
        <v>202520</v>
      </c>
      <c r="I50" s="60">
        <f>SUM(Tabel134[[#This Row],[Inv.
(15)4]:[Maj.kulu
(55) 4]])</f>
        <v>202520</v>
      </c>
      <c r="J50" s="69">
        <f>Tabel13[[#This Row],[Inv.
(15)]]*1.2</f>
        <v>0</v>
      </c>
      <c r="K50" s="69">
        <f>Tabel13[[#This Row],[Tööj.kulu
(50)]]</f>
        <v>0</v>
      </c>
      <c r="L50" s="61">
        <f>Tabel13[[#This Row],[Maj.kulu
(55) ]]*1.2</f>
        <v>0</v>
      </c>
      <c r="M50" s="62">
        <f>Tabel13[[#This Row],[Inv.
(15)2]]*1.2</f>
        <v>0</v>
      </c>
      <c r="N50" s="69">
        <f>Tabel13[[#This Row],[Tööj.kulu
(50)2]]</f>
        <v>0</v>
      </c>
      <c r="O50" s="61">
        <f>Tabel13[[#This Row],[Maj.kulu
(55) 2]]*1.2</f>
        <v>0</v>
      </c>
      <c r="P50" s="62">
        <f>Tabel13[[#This Row],[Inv.
(15)3]]*1.22</f>
        <v>0</v>
      </c>
      <c r="Q50" s="69">
        <f>Tabel13[[#This Row],[Tööj.kulu
(50)3]]</f>
        <v>0</v>
      </c>
      <c r="R50" s="61">
        <f>Tabel13[[#This Row],[Maj.kulu
(55) 3]]*1.22</f>
        <v>202520</v>
      </c>
      <c r="S50" s="62">
        <f>Tabel13[[#This Row],[Inv.
(15)4]]*1.22</f>
        <v>0</v>
      </c>
      <c r="T50" s="69">
        <f>Tabel13[[#This Row],[Tööj.kulu
(50)4]]</f>
        <v>0</v>
      </c>
      <c r="U50" s="69">
        <f>Tabel13[[#This Row],[Maj.kulu
(55) 4]]*1.22</f>
        <v>202520</v>
      </c>
    </row>
    <row r="51" spans="1:21" ht="60" x14ac:dyDescent="0.25">
      <c r="A51" s="65">
        <v>83</v>
      </c>
      <c r="B51" s="66" t="s">
        <v>35</v>
      </c>
      <c r="C51" s="67" t="s">
        <v>118</v>
      </c>
      <c r="D51" s="68" t="s">
        <v>126</v>
      </c>
      <c r="E51" s="58">
        <f>SUM(Tabel134[[#This Row],[2023]]+Tabel134[[#This Row],[2024 lisanduv]])</f>
        <v>610000</v>
      </c>
      <c r="F51" s="59">
        <f>SUM(Tabel134[[#This Row],[Inv.
(15)]:[Maj.kulu
(55) ]])</f>
        <v>0</v>
      </c>
      <c r="G51" s="59">
        <f>SUM(Tabel134[[#This Row],[Inv.
(15)2]:[Maj.kulu
(55) 2]])</f>
        <v>0</v>
      </c>
      <c r="H51" s="59">
        <f>SUM(Tabel134[[#This Row],[Inv.
(15)3]:[Maj.kulu
(55) 3]])</f>
        <v>610000</v>
      </c>
      <c r="I51" s="60">
        <f>SUM(Tabel134[[#This Row],[Inv.
(15)4]:[Maj.kulu
(55) 4]])</f>
        <v>610000</v>
      </c>
      <c r="J51" s="69">
        <f>Tabel13[[#This Row],[Inv.
(15)]]*1.2</f>
        <v>0</v>
      </c>
      <c r="K51" s="69">
        <f>Tabel13[[#This Row],[Tööj.kulu
(50)]]</f>
        <v>0</v>
      </c>
      <c r="L51" s="61">
        <f>Tabel13[[#This Row],[Maj.kulu
(55) ]]*1.2</f>
        <v>0</v>
      </c>
      <c r="M51" s="62">
        <f>Tabel13[[#This Row],[Inv.
(15)2]]*1.2</f>
        <v>0</v>
      </c>
      <c r="N51" s="69">
        <f>Tabel13[[#This Row],[Tööj.kulu
(50)2]]</f>
        <v>0</v>
      </c>
      <c r="O51" s="61">
        <f>Tabel13[[#This Row],[Maj.kulu
(55) 2]]*1.2</f>
        <v>0</v>
      </c>
      <c r="P51" s="62">
        <f>Tabel13[[#This Row],[Inv.
(15)3]]*1.22</f>
        <v>610000</v>
      </c>
      <c r="Q51" s="69">
        <f>Tabel13[[#This Row],[Tööj.kulu
(50)3]]</f>
        <v>0</v>
      </c>
      <c r="R51" s="61">
        <f>Tabel13[[#This Row],[Maj.kulu
(55) 3]]*1.22</f>
        <v>0</v>
      </c>
      <c r="S51" s="62">
        <f>Tabel13[[#This Row],[Inv.
(15)4]]*1.22</f>
        <v>610000</v>
      </c>
      <c r="T51" s="69">
        <f>Tabel13[[#This Row],[Tööj.kulu
(50)4]]</f>
        <v>0</v>
      </c>
      <c r="U51" s="69">
        <f>Tabel13[[#This Row],[Maj.kulu
(55) 4]]*1.22</f>
        <v>0</v>
      </c>
    </row>
    <row r="52" spans="1:21" ht="30" x14ac:dyDescent="0.25">
      <c r="A52" s="65">
        <v>84</v>
      </c>
      <c r="B52" s="66" t="s">
        <v>35</v>
      </c>
      <c r="C52" s="67" t="s">
        <v>118</v>
      </c>
      <c r="D52" s="68" t="s">
        <v>127</v>
      </c>
      <c r="E52" s="58">
        <f>SUM(Tabel134[[#This Row],[2023]]+Tabel134[[#This Row],[2024 lisanduv]])</f>
        <v>442600</v>
      </c>
      <c r="F52" s="59">
        <f>SUM(Tabel134[[#This Row],[Inv.
(15)]:[Maj.kulu
(55) ]])</f>
        <v>162000</v>
      </c>
      <c r="G52" s="59">
        <f>SUM(Tabel134[[#This Row],[Inv.
(15)2]:[Maj.kulu
(55) 2]])</f>
        <v>162000</v>
      </c>
      <c r="H52" s="59">
        <f>SUM(Tabel134[[#This Row],[Inv.
(15)3]:[Maj.kulu
(55) 3]])</f>
        <v>280600</v>
      </c>
      <c r="I52" s="60">
        <f>SUM(Tabel134[[#This Row],[Inv.
(15)4]:[Maj.kulu
(55) 4]])</f>
        <v>445300</v>
      </c>
      <c r="J52" s="69">
        <f>Tabel13[[#This Row],[Inv.
(15)]]*1.2</f>
        <v>162000</v>
      </c>
      <c r="K52" s="69">
        <f>Tabel13[[#This Row],[Tööj.kulu
(50)]]</f>
        <v>0</v>
      </c>
      <c r="L52" s="61">
        <f>Tabel13[[#This Row],[Maj.kulu
(55) ]]*1.2</f>
        <v>0</v>
      </c>
      <c r="M52" s="62">
        <f>Tabel13[[#This Row],[Inv.
(15)2]]*1.2</f>
        <v>162000</v>
      </c>
      <c r="N52" s="69">
        <f>Tabel13[[#This Row],[Tööj.kulu
(50)2]]</f>
        <v>0</v>
      </c>
      <c r="O52" s="61">
        <f>Tabel13[[#This Row],[Maj.kulu
(55) 2]]*1.2</f>
        <v>0</v>
      </c>
      <c r="P52" s="62">
        <f>Tabel13[[#This Row],[Inv.
(15)3]]*1.22</f>
        <v>280600</v>
      </c>
      <c r="Q52" s="69">
        <f>Tabel13[[#This Row],[Tööj.kulu
(50)3]]</f>
        <v>0</v>
      </c>
      <c r="R52" s="61">
        <f>Tabel13[[#This Row],[Maj.kulu
(55) 3]]*1.22</f>
        <v>0</v>
      </c>
      <c r="S52" s="62">
        <f>Tabel13[[#This Row],[Inv.
(15)4]]*1.22</f>
        <v>445300</v>
      </c>
      <c r="T52" s="69">
        <f>Tabel13[[#This Row],[Tööj.kulu
(50)4]]</f>
        <v>0</v>
      </c>
      <c r="U52" s="69">
        <f>Tabel13[[#This Row],[Maj.kulu
(55) 4]]*1.22</f>
        <v>0</v>
      </c>
    </row>
    <row r="53" spans="1:21" ht="30" x14ac:dyDescent="0.25">
      <c r="A53" s="65">
        <v>85</v>
      </c>
      <c r="B53" s="66" t="s">
        <v>35</v>
      </c>
      <c r="C53" s="67" t="s">
        <v>118</v>
      </c>
      <c r="D53" s="68" t="s">
        <v>128</v>
      </c>
      <c r="E53" s="58">
        <f>SUM(Tabel134[[#This Row],[2023]]+Tabel134[[#This Row],[2024 lisanduv]])</f>
        <v>101666.26</v>
      </c>
      <c r="F53" s="59">
        <f>SUM(Tabel134[[#This Row],[Inv.
(15)]:[Maj.kulu
(55) ]])</f>
        <v>0</v>
      </c>
      <c r="G53" s="59">
        <f>SUM(Tabel134[[#This Row],[Inv.
(15)2]:[Maj.kulu
(55) 2]])</f>
        <v>0</v>
      </c>
      <c r="H53" s="59">
        <f>SUM(Tabel134[[#This Row],[Inv.
(15)3]:[Maj.kulu
(55) 3]])</f>
        <v>101666.26</v>
      </c>
      <c r="I53" s="60">
        <f>SUM(Tabel134[[#This Row],[Inv.
(15)4]:[Maj.kulu
(55) 4]])</f>
        <v>101666.26</v>
      </c>
      <c r="J53" s="69">
        <f>Tabel13[[#This Row],[Inv.
(15)]]*1.2</f>
        <v>0</v>
      </c>
      <c r="K53" s="69">
        <f>Tabel13[[#This Row],[Tööj.kulu
(50)]]</f>
        <v>0</v>
      </c>
      <c r="L53" s="61">
        <f>Tabel13[[#This Row],[Maj.kulu
(55) ]]*1.2</f>
        <v>0</v>
      </c>
      <c r="M53" s="62">
        <f>Tabel13[[#This Row],[Inv.
(15)2]]*1.2</f>
        <v>0</v>
      </c>
      <c r="N53" s="69">
        <f>Tabel13[[#This Row],[Tööj.kulu
(50)2]]</f>
        <v>0</v>
      </c>
      <c r="O53" s="61">
        <f>Tabel13[[#This Row],[Maj.kulu
(55) 2]]*1.2</f>
        <v>0</v>
      </c>
      <c r="P53" s="62">
        <f>Tabel13[[#This Row],[Inv.
(15)3]]*1.22</f>
        <v>0</v>
      </c>
      <c r="Q53" s="69">
        <f>Tabel13[[#This Row],[Tööj.kulu
(50)3]]</f>
        <v>0</v>
      </c>
      <c r="R53" s="61">
        <f>Tabel13[[#This Row],[Maj.kulu
(55) 3]]*1.22</f>
        <v>101666.26</v>
      </c>
      <c r="S53" s="62">
        <f>Tabel13[[#This Row],[Inv.
(15)4]]*1.22</f>
        <v>0</v>
      </c>
      <c r="T53" s="69">
        <f>Tabel13[[#This Row],[Tööj.kulu
(50)4]]</f>
        <v>0</v>
      </c>
      <c r="U53" s="69">
        <f>Tabel13[[#This Row],[Maj.kulu
(55) 4]]*1.22</f>
        <v>101666.26</v>
      </c>
    </row>
    <row r="54" spans="1:21" x14ac:dyDescent="0.25">
      <c r="A54" s="65">
        <v>86</v>
      </c>
      <c r="B54" s="66" t="s">
        <v>35</v>
      </c>
      <c r="C54" s="67" t="s">
        <v>129</v>
      </c>
      <c r="D54" s="68" t="s">
        <v>130</v>
      </c>
      <c r="E54" s="58">
        <f>SUM(Tabel134[[#This Row],[2023]]+Tabel134[[#This Row],[2024 lisanduv]])</f>
        <v>122000</v>
      </c>
      <c r="F54" s="59">
        <f>SUM(Tabel134[[#This Row],[Inv.
(15)]:[Maj.kulu
(55) ]])</f>
        <v>0</v>
      </c>
      <c r="G54" s="59">
        <f>SUM(Tabel134[[#This Row],[Inv.
(15)2]:[Maj.kulu
(55) 2]])</f>
        <v>0</v>
      </c>
      <c r="H54" s="59">
        <f>SUM(Tabel134[[#This Row],[Inv.
(15)3]:[Maj.kulu
(55) 3]])</f>
        <v>122000</v>
      </c>
      <c r="I54" s="60">
        <f>SUM(Tabel134[[#This Row],[Inv.
(15)4]:[Maj.kulu
(55) 4]])</f>
        <v>122000</v>
      </c>
      <c r="J54" s="69">
        <f>Tabel13[[#This Row],[Inv.
(15)]]*1.2</f>
        <v>0</v>
      </c>
      <c r="K54" s="69">
        <f>Tabel13[[#This Row],[Tööj.kulu
(50)]]</f>
        <v>0</v>
      </c>
      <c r="L54" s="61">
        <f>Tabel13[[#This Row],[Maj.kulu
(55) ]]*1.2</f>
        <v>0</v>
      </c>
      <c r="M54" s="62">
        <f>Tabel13[[#This Row],[Inv.
(15)2]]*1.2</f>
        <v>0</v>
      </c>
      <c r="N54" s="69">
        <f>Tabel13[[#This Row],[Tööj.kulu
(50)2]]</f>
        <v>0</v>
      </c>
      <c r="O54" s="61">
        <f>Tabel13[[#This Row],[Maj.kulu
(55) 2]]*1.2</f>
        <v>0</v>
      </c>
      <c r="P54" s="62">
        <f>Tabel13[[#This Row],[Inv.
(15)3]]*1.22</f>
        <v>122000</v>
      </c>
      <c r="Q54" s="69">
        <f>Tabel13[[#This Row],[Tööj.kulu
(50)3]]</f>
        <v>0</v>
      </c>
      <c r="R54" s="61">
        <f>Tabel13[[#This Row],[Maj.kulu
(55) 3]]*1.22</f>
        <v>0</v>
      </c>
      <c r="S54" s="62">
        <f>Tabel13[[#This Row],[Inv.
(15)4]]*1.22</f>
        <v>122000</v>
      </c>
      <c r="T54" s="69">
        <f>Tabel13[[#This Row],[Tööj.kulu
(50)4]]</f>
        <v>0</v>
      </c>
      <c r="U54" s="69">
        <f>Tabel13[[#This Row],[Maj.kulu
(55) 4]]*1.22</f>
        <v>0</v>
      </c>
    </row>
    <row r="55" spans="1:21" ht="45" x14ac:dyDescent="0.25">
      <c r="A55" s="65">
        <v>87</v>
      </c>
      <c r="B55" s="66" t="s">
        <v>35</v>
      </c>
      <c r="C55" s="67" t="s">
        <v>129</v>
      </c>
      <c r="D55" s="68" t="s">
        <v>131</v>
      </c>
      <c r="E55" s="58">
        <f>SUM(Tabel134[[#This Row],[2023]]+Tabel134[[#This Row],[2024 lisanduv]])</f>
        <v>36478</v>
      </c>
      <c r="F55" s="59">
        <f>SUM(Tabel134[[#This Row],[Inv.
(15)]:[Maj.kulu
(55) ]])</f>
        <v>0</v>
      </c>
      <c r="G55" s="59">
        <f>SUM(Tabel134[[#This Row],[Inv.
(15)2]:[Maj.kulu
(55) 2]])</f>
        <v>0</v>
      </c>
      <c r="H55" s="59">
        <f>SUM(Tabel134[[#This Row],[Inv.
(15)3]:[Maj.kulu
(55) 3]])</f>
        <v>36478</v>
      </c>
      <c r="I55" s="60">
        <f>SUM(Tabel134[[#This Row],[Inv.
(15)4]:[Maj.kulu
(55) 4]])</f>
        <v>36478</v>
      </c>
      <c r="J55" s="69">
        <f>Tabel13[[#This Row],[Inv.
(15)]]*1.2</f>
        <v>0</v>
      </c>
      <c r="K55" s="69">
        <f>Tabel13[[#This Row],[Tööj.kulu
(50)]]</f>
        <v>0</v>
      </c>
      <c r="L55" s="61">
        <f>Tabel13[[#This Row],[Maj.kulu
(55) ]]*1.2</f>
        <v>0</v>
      </c>
      <c r="M55" s="62">
        <f>Tabel13[[#This Row],[Inv.
(15)2]]*1.2</f>
        <v>0</v>
      </c>
      <c r="N55" s="69">
        <f>Tabel13[[#This Row],[Tööj.kulu
(50)2]]</f>
        <v>0</v>
      </c>
      <c r="O55" s="61">
        <f>Tabel13[[#This Row],[Maj.kulu
(55) 2]]*1.2</f>
        <v>0</v>
      </c>
      <c r="P55" s="62">
        <f>Tabel13[[#This Row],[Inv.
(15)3]]*1.22</f>
        <v>0</v>
      </c>
      <c r="Q55" s="69">
        <f>Tabel13[[#This Row],[Tööj.kulu
(50)3]]</f>
        <v>0</v>
      </c>
      <c r="R55" s="61">
        <f>Tabel13[[#This Row],[Maj.kulu
(55) 3]]*1.22</f>
        <v>36478</v>
      </c>
      <c r="S55" s="62">
        <f>Tabel13[[#This Row],[Inv.
(15)4]]*1.22</f>
        <v>0</v>
      </c>
      <c r="T55" s="69">
        <f>Tabel13[[#This Row],[Tööj.kulu
(50)4]]</f>
        <v>0</v>
      </c>
      <c r="U55" s="69">
        <f>Tabel13[[#This Row],[Maj.kulu
(55) 4]]*1.22</f>
        <v>36478</v>
      </c>
    </row>
    <row r="56" spans="1:21" ht="30" x14ac:dyDescent="0.25">
      <c r="A56" s="65">
        <v>88</v>
      </c>
      <c r="B56" s="66" t="s">
        <v>35</v>
      </c>
      <c r="C56" s="67" t="s">
        <v>132</v>
      </c>
      <c r="D56" s="68" t="s">
        <v>133</v>
      </c>
      <c r="E56" s="58">
        <f>SUM(Tabel134[[#This Row],[2023]]+Tabel134[[#This Row],[2024 lisanduv]])</f>
        <v>432000</v>
      </c>
      <c r="F56" s="59">
        <f>SUM(Tabel134[[#This Row],[Inv.
(15)]:[Maj.kulu
(55) ]])</f>
        <v>432000</v>
      </c>
      <c r="G56" s="59">
        <f>SUM(Tabel134[[#This Row],[Inv.
(15)2]:[Maj.kulu
(55) 2]])</f>
        <v>152072.4</v>
      </c>
      <c r="H56" s="59">
        <f>SUM(Tabel134[[#This Row],[Inv.
(15)3]:[Maj.kulu
(55) 3]])</f>
        <v>0</v>
      </c>
      <c r="I56" s="60">
        <f>SUM(Tabel134[[#This Row],[Inv.
(15)4]:[Maj.kulu
(55) 4]])</f>
        <v>154606.94</v>
      </c>
      <c r="J56" s="69">
        <f>Tabel13[[#This Row],[Inv.
(15)]]*1.2</f>
        <v>0</v>
      </c>
      <c r="K56" s="69">
        <f>Tabel13[[#This Row],[Tööj.kulu
(50)]]</f>
        <v>0</v>
      </c>
      <c r="L56" s="61">
        <f>Tabel13[[#This Row],[Maj.kulu
(55) ]]*1.2</f>
        <v>432000</v>
      </c>
      <c r="M56" s="62">
        <f>Tabel13[[#This Row],[Inv.
(15)2]]*1.2</f>
        <v>0</v>
      </c>
      <c r="N56" s="69">
        <f>Tabel13[[#This Row],[Tööj.kulu
(50)2]]</f>
        <v>0</v>
      </c>
      <c r="O56" s="61">
        <f>Tabel13[[#This Row],[Maj.kulu
(55) 2]]*1.2</f>
        <v>152072.4</v>
      </c>
      <c r="P56" s="62">
        <f>Tabel13[[#This Row],[Inv.
(15)3]]*1.22</f>
        <v>0</v>
      </c>
      <c r="Q56" s="69">
        <f>Tabel13[[#This Row],[Tööj.kulu
(50)3]]</f>
        <v>0</v>
      </c>
      <c r="R56" s="61">
        <f>Tabel13[[#This Row],[Maj.kulu
(55) 3]]*1.22</f>
        <v>0</v>
      </c>
      <c r="S56" s="62">
        <f>Tabel13[[#This Row],[Inv.
(15)4]]*1.22</f>
        <v>0</v>
      </c>
      <c r="T56" s="69">
        <f>Tabel13[[#This Row],[Tööj.kulu
(50)4]]</f>
        <v>0</v>
      </c>
      <c r="U56" s="69">
        <f>Tabel13[[#This Row],[Maj.kulu
(55) 4]]*1.22</f>
        <v>154606.94</v>
      </c>
    </row>
    <row r="57" spans="1:21" ht="30" x14ac:dyDescent="0.25">
      <c r="A57" s="65">
        <v>89</v>
      </c>
      <c r="B57" s="66" t="s">
        <v>37</v>
      </c>
      <c r="C57" s="67" t="s">
        <v>134</v>
      </c>
      <c r="D57" s="68" t="s">
        <v>135</v>
      </c>
      <c r="E57" s="58">
        <f>SUM(Tabel134[[#This Row],[2023]]+Tabel134[[#This Row],[2024 lisanduv]])</f>
        <v>12200</v>
      </c>
      <c r="F57" s="59">
        <f>SUM(Tabel134[[#This Row],[Inv.
(15)]:[Maj.kulu
(55) ]])</f>
        <v>0</v>
      </c>
      <c r="G57" s="59">
        <f>SUM(Tabel134[[#This Row],[Inv.
(15)2]:[Maj.kulu
(55) 2]])</f>
        <v>0</v>
      </c>
      <c r="H57" s="59">
        <f>SUM(Tabel134[[#This Row],[Inv.
(15)3]:[Maj.kulu
(55) 3]])</f>
        <v>12200</v>
      </c>
      <c r="I57" s="60">
        <f>SUM(Tabel134[[#This Row],[Inv.
(15)4]:[Maj.kulu
(55) 4]])</f>
        <v>12200</v>
      </c>
      <c r="J57" s="69">
        <f>Tabel13[[#This Row],[Inv.
(15)]]*1.2</f>
        <v>0</v>
      </c>
      <c r="K57" s="69">
        <f>Tabel13[[#This Row],[Tööj.kulu
(50)]]</f>
        <v>0</v>
      </c>
      <c r="L57" s="61">
        <f>Tabel13[[#This Row],[Maj.kulu
(55) ]]*1.2</f>
        <v>0</v>
      </c>
      <c r="M57" s="62">
        <f>Tabel13[[#This Row],[Inv.
(15)2]]*1.2</f>
        <v>0</v>
      </c>
      <c r="N57" s="69">
        <f>Tabel13[[#This Row],[Tööj.kulu
(50)2]]</f>
        <v>0</v>
      </c>
      <c r="O57" s="61">
        <f>Tabel13[[#This Row],[Maj.kulu
(55) 2]]*1.2</f>
        <v>0</v>
      </c>
      <c r="P57" s="62">
        <f>Tabel13[[#This Row],[Inv.
(15)3]]*1.22</f>
        <v>0</v>
      </c>
      <c r="Q57" s="69">
        <f>Tabel13[[#This Row],[Tööj.kulu
(50)3]]</f>
        <v>0</v>
      </c>
      <c r="R57" s="61">
        <f>Tabel13[[#This Row],[Maj.kulu
(55) 3]]*1.22</f>
        <v>12200</v>
      </c>
      <c r="S57" s="62">
        <f>Tabel13[[#This Row],[Inv.
(15)4]]*1.22</f>
        <v>0</v>
      </c>
      <c r="T57" s="69">
        <f>Tabel13[[#This Row],[Tööj.kulu
(50)4]]</f>
        <v>0</v>
      </c>
      <c r="U57" s="69">
        <f>Tabel13[[#This Row],[Maj.kulu
(55) 4]]*1.22</f>
        <v>12200</v>
      </c>
    </row>
    <row r="58" spans="1:21" ht="30" x14ac:dyDescent="0.25">
      <c r="A58" s="65">
        <v>90</v>
      </c>
      <c r="B58" s="66" t="s">
        <v>37</v>
      </c>
      <c r="C58" s="67" t="s">
        <v>134</v>
      </c>
      <c r="D58" s="68" t="s">
        <v>136</v>
      </c>
      <c r="E58" s="58">
        <f>SUM(Tabel134[[#This Row],[2023]]+Tabel134[[#This Row],[2024 lisanduv]])</f>
        <v>30500</v>
      </c>
      <c r="F58" s="59">
        <f>SUM(Tabel134[[#This Row],[Inv.
(15)]:[Maj.kulu
(55) ]])</f>
        <v>0</v>
      </c>
      <c r="G58" s="59">
        <f>SUM(Tabel134[[#This Row],[Inv.
(15)2]:[Maj.kulu
(55) 2]])</f>
        <v>0</v>
      </c>
      <c r="H58" s="59">
        <f>SUM(Tabel134[[#This Row],[Inv.
(15)3]:[Maj.kulu
(55) 3]])</f>
        <v>30500</v>
      </c>
      <c r="I58" s="60">
        <f>SUM(Tabel134[[#This Row],[Inv.
(15)4]:[Maj.kulu
(55) 4]])</f>
        <v>30500</v>
      </c>
      <c r="J58" s="69">
        <f>Tabel13[[#This Row],[Inv.
(15)]]*1.2</f>
        <v>0</v>
      </c>
      <c r="K58" s="69">
        <f>Tabel13[[#This Row],[Tööj.kulu
(50)]]</f>
        <v>0</v>
      </c>
      <c r="L58" s="61">
        <f>Tabel13[[#This Row],[Maj.kulu
(55) ]]*1.2</f>
        <v>0</v>
      </c>
      <c r="M58" s="62">
        <f>Tabel13[[#This Row],[Inv.
(15)2]]*1.2</f>
        <v>0</v>
      </c>
      <c r="N58" s="69">
        <f>Tabel13[[#This Row],[Tööj.kulu
(50)2]]</f>
        <v>0</v>
      </c>
      <c r="O58" s="61">
        <f>Tabel13[[#This Row],[Maj.kulu
(55) 2]]*1.2</f>
        <v>0</v>
      </c>
      <c r="P58" s="62">
        <f>Tabel13[[#This Row],[Inv.
(15)3]]*1.22</f>
        <v>0</v>
      </c>
      <c r="Q58" s="69">
        <f>Tabel13[[#This Row],[Tööj.kulu
(50)3]]</f>
        <v>0</v>
      </c>
      <c r="R58" s="61">
        <f>Tabel13[[#This Row],[Maj.kulu
(55) 3]]*1.22</f>
        <v>30500</v>
      </c>
      <c r="S58" s="62">
        <f>Tabel13[[#This Row],[Inv.
(15)4]]*1.22</f>
        <v>0</v>
      </c>
      <c r="T58" s="69">
        <f>Tabel13[[#This Row],[Tööj.kulu
(50)4]]</f>
        <v>0</v>
      </c>
      <c r="U58" s="69">
        <f>Tabel13[[#This Row],[Maj.kulu
(55) 4]]*1.22</f>
        <v>30500</v>
      </c>
    </row>
    <row r="59" spans="1:21" ht="30" x14ac:dyDescent="0.25">
      <c r="A59" s="65">
        <v>91</v>
      </c>
      <c r="B59" s="66" t="s">
        <v>37</v>
      </c>
      <c r="C59" s="67" t="s">
        <v>134</v>
      </c>
      <c r="D59" s="68" t="s">
        <v>137</v>
      </c>
      <c r="E59" s="58">
        <f>SUM(Tabel134[[#This Row],[2023]]+Tabel134[[#This Row],[2024 lisanduv]])</f>
        <v>61000</v>
      </c>
      <c r="F59" s="59">
        <f>SUM(Tabel134[[#This Row],[Inv.
(15)]:[Maj.kulu
(55) ]])</f>
        <v>0</v>
      </c>
      <c r="G59" s="59">
        <f>SUM(Tabel134[[#This Row],[Inv.
(15)2]:[Maj.kulu
(55) 2]])</f>
        <v>0</v>
      </c>
      <c r="H59" s="59">
        <f>SUM(Tabel134[[#This Row],[Inv.
(15)3]:[Maj.kulu
(55) 3]])</f>
        <v>61000</v>
      </c>
      <c r="I59" s="60">
        <f>SUM(Tabel134[[#This Row],[Inv.
(15)4]:[Maj.kulu
(55) 4]])</f>
        <v>61000</v>
      </c>
      <c r="J59" s="69">
        <f>Tabel13[[#This Row],[Inv.
(15)]]*1.2</f>
        <v>0</v>
      </c>
      <c r="K59" s="69">
        <f>Tabel13[[#This Row],[Tööj.kulu
(50)]]</f>
        <v>0</v>
      </c>
      <c r="L59" s="61">
        <f>Tabel13[[#This Row],[Maj.kulu
(55) ]]*1.2</f>
        <v>0</v>
      </c>
      <c r="M59" s="62">
        <f>Tabel13[[#This Row],[Inv.
(15)2]]*1.2</f>
        <v>0</v>
      </c>
      <c r="N59" s="69">
        <f>Tabel13[[#This Row],[Tööj.kulu
(50)2]]</f>
        <v>0</v>
      </c>
      <c r="O59" s="61">
        <f>Tabel13[[#This Row],[Maj.kulu
(55) 2]]*1.2</f>
        <v>0</v>
      </c>
      <c r="P59" s="62">
        <f>Tabel13[[#This Row],[Inv.
(15)3]]*1.22</f>
        <v>0</v>
      </c>
      <c r="Q59" s="69">
        <f>Tabel13[[#This Row],[Tööj.kulu
(50)3]]</f>
        <v>0</v>
      </c>
      <c r="R59" s="61">
        <f>Tabel13[[#This Row],[Maj.kulu
(55) 3]]*1.22</f>
        <v>61000</v>
      </c>
      <c r="S59" s="62">
        <f>Tabel13[[#This Row],[Inv.
(15)4]]*1.22</f>
        <v>0</v>
      </c>
      <c r="T59" s="69">
        <f>Tabel13[[#This Row],[Tööj.kulu
(50)4]]</f>
        <v>0</v>
      </c>
      <c r="U59" s="69">
        <f>Tabel13[[#This Row],[Maj.kulu
(55) 4]]*1.22</f>
        <v>61000</v>
      </c>
    </row>
    <row r="60" spans="1:21" x14ac:dyDescent="0.25">
      <c r="A60" s="65">
        <v>92</v>
      </c>
      <c r="B60" s="66" t="s">
        <v>37</v>
      </c>
      <c r="C60" s="67" t="s">
        <v>134</v>
      </c>
      <c r="D60" s="68" t="s">
        <v>175</v>
      </c>
      <c r="E60" s="58">
        <f>SUM(Tabel134[[#This Row],[2023]]+Tabel134[[#This Row],[2024 lisanduv]])</f>
        <v>3660</v>
      </c>
      <c r="F60" s="59">
        <f>SUM(Tabel134[[#This Row],[Inv.
(15)]:[Maj.kulu
(55) ]])</f>
        <v>0</v>
      </c>
      <c r="G60" s="59">
        <f>SUM(Tabel134[[#This Row],[Inv.
(15)2]:[Maj.kulu
(55) 2]])</f>
        <v>0</v>
      </c>
      <c r="H60" s="59">
        <f>SUM(Tabel134[[#This Row],[Inv.
(15)3]:[Maj.kulu
(55) 3]])</f>
        <v>3660</v>
      </c>
      <c r="I60" s="60">
        <f>SUM(Tabel134[[#This Row],[Inv.
(15)4]:[Maj.kulu
(55) 4]])</f>
        <v>3660</v>
      </c>
      <c r="J60" s="69">
        <f>Tabel13[[#This Row],[Inv.
(15)]]*1.2</f>
        <v>0</v>
      </c>
      <c r="K60" s="69">
        <f>Tabel13[[#This Row],[Tööj.kulu
(50)]]</f>
        <v>0</v>
      </c>
      <c r="L60" s="61">
        <f>Tabel13[[#This Row],[Maj.kulu
(55) ]]*1.2</f>
        <v>0</v>
      </c>
      <c r="M60" s="62">
        <f>Tabel13[[#This Row],[Inv.
(15)2]]*1.2</f>
        <v>0</v>
      </c>
      <c r="N60" s="69">
        <f>Tabel13[[#This Row],[Tööj.kulu
(50)2]]</f>
        <v>0</v>
      </c>
      <c r="O60" s="61">
        <f>Tabel13[[#This Row],[Maj.kulu
(55) 2]]*1.2</f>
        <v>0</v>
      </c>
      <c r="P60" s="62">
        <f>Tabel13[[#This Row],[Inv.
(15)3]]*1.22</f>
        <v>0</v>
      </c>
      <c r="Q60" s="69">
        <f>Tabel13[[#This Row],[Tööj.kulu
(50)3]]</f>
        <v>0</v>
      </c>
      <c r="R60" s="61">
        <f>Tabel13[[#This Row],[Maj.kulu
(55) 3]]*1.22</f>
        <v>3660</v>
      </c>
      <c r="S60" s="62">
        <f>Tabel13[[#This Row],[Inv.
(15)4]]*1.22</f>
        <v>0</v>
      </c>
      <c r="T60" s="69">
        <f>Tabel13[[#This Row],[Tööj.kulu
(50)4]]</f>
        <v>0</v>
      </c>
      <c r="U60" s="69">
        <f>Tabel13[[#This Row],[Maj.kulu
(55) 4]]*1.22</f>
        <v>3660</v>
      </c>
    </row>
    <row r="61" spans="1:21" x14ac:dyDescent="0.25">
      <c r="A61" s="65">
        <v>93</v>
      </c>
      <c r="B61" s="66" t="s">
        <v>37</v>
      </c>
      <c r="C61" s="67" t="s">
        <v>139</v>
      </c>
      <c r="D61" s="68" t="s">
        <v>140</v>
      </c>
      <c r="E61" s="58">
        <f>SUM(Tabel134[[#This Row],[2023]]+Tabel134[[#This Row],[2024 lisanduv]])</f>
        <v>73200</v>
      </c>
      <c r="F61" s="59">
        <f>SUM(Tabel134[[#This Row],[Inv.
(15)]:[Maj.kulu
(55) ]])</f>
        <v>0</v>
      </c>
      <c r="G61" s="59">
        <f>SUM(Tabel134[[#This Row],[Inv.
(15)2]:[Maj.kulu
(55) 2]])</f>
        <v>0</v>
      </c>
      <c r="H61" s="59">
        <f>SUM(Tabel134[[#This Row],[Inv.
(15)3]:[Maj.kulu
(55) 3]])</f>
        <v>73200</v>
      </c>
      <c r="I61" s="60">
        <f>SUM(Tabel134[[#This Row],[Inv.
(15)4]:[Maj.kulu
(55) 4]])</f>
        <v>73200</v>
      </c>
      <c r="J61" s="69">
        <f>Tabel13[[#This Row],[Inv.
(15)]]*1.2</f>
        <v>0</v>
      </c>
      <c r="K61" s="69">
        <f>Tabel13[[#This Row],[Tööj.kulu
(50)]]</f>
        <v>0</v>
      </c>
      <c r="L61" s="61">
        <f>Tabel13[[#This Row],[Maj.kulu
(55) ]]*1.2</f>
        <v>0</v>
      </c>
      <c r="M61" s="62">
        <f>Tabel13[[#This Row],[Inv.
(15)2]]*1.2</f>
        <v>0</v>
      </c>
      <c r="N61" s="69">
        <f>Tabel13[[#This Row],[Tööj.kulu
(50)2]]</f>
        <v>0</v>
      </c>
      <c r="O61" s="61">
        <f>Tabel13[[#This Row],[Maj.kulu
(55) 2]]*1.2</f>
        <v>0</v>
      </c>
      <c r="P61" s="62">
        <f>Tabel13[[#This Row],[Inv.
(15)3]]*1.22</f>
        <v>0</v>
      </c>
      <c r="Q61" s="69">
        <f>Tabel13[[#This Row],[Tööj.kulu
(50)3]]</f>
        <v>0</v>
      </c>
      <c r="R61" s="61">
        <f>Tabel13[[#This Row],[Maj.kulu
(55) 3]]*1.22</f>
        <v>73200</v>
      </c>
      <c r="S61" s="62">
        <f>Tabel13[[#This Row],[Inv.
(15)4]]*1.22</f>
        <v>0</v>
      </c>
      <c r="T61" s="69">
        <f>Tabel13[[#This Row],[Tööj.kulu
(50)4]]</f>
        <v>0</v>
      </c>
      <c r="U61" s="69">
        <f>Tabel13[[#This Row],[Maj.kulu
(55) 4]]*1.22</f>
        <v>73200</v>
      </c>
    </row>
    <row r="62" spans="1:21" x14ac:dyDescent="0.25">
      <c r="A62" s="65">
        <v>94</v>
      </c>
      <c r="B62" s="66" t="s">
        <v>37</v>
      </c>
      <c r="C62" s="67" t="s">
        <v>139</v>
      </c>
      <c r="D62" s="68" t="s">
        <v>141</v>
      </c>
      <c r="E62" s="58">
        <f>SUM(Tabel134[[#This Row],[2023]]+Tabel134[[#This Row],[2024 lisanduv]])</f>
        <v>4880</v>
      </c>
      <c r="F62" s="59">
        <f>SUM(Tabel134[[#This Row],[Inv.
(15)]:[Maj.kulu
(55) ]])</f>
        <v>0</v>
      </c>
      <c r="G62" s="59">
        <f>SUM(Tabel134[[#This Row],[Inv.
(15)2]:[Maj.kulu
(55) 2]])</f>
        <v>0</v>
      </c>
      <c r="H62" s="59">
        <f>SUM(Tabel134[[#This Row],[Inv.
(15)3]:[Maj.kulu
(55) 3]])</f>
        <v>4880</v>
      </c>
      <c r="I62" s="60">
        <f>SUM(Tabel134[[#This Row],[Inv.
(15)4]:[Maj.kulu
(55) 4]])</f>
        <v>4880</v>
      </c>
      <c r="J62" s="69">
        <f>Tabel13[[#This Row],[Inv.
(15)]]*1.2</f>
        <v>0</v>
      </c>
      <c r="K62" s="69">
        <f>Tabel13[[#This Row],[Tööj.kulu
(50)]]</f>
        <v>0</v>
      </c>
      <c r="L62" s="61">
        <f>Tabel13[[#This Row],[Maj.kulu
(55) ]]*1.2</f>
        <v>0</v>
      </c>
      <c r="M62" s="62">
        <f>Tabel13[[#This Row],[Inv.
(15)2]]*1.2</f>
        <v>0</v>
      </c>
      <c r="N62" s="69">
        <f>Tabel13[[#This Row],[Tööj.kulu
(50)2]]</f>
        <v>0</v>
      </c>
      <c r="O62" s="61">
        <f>Tabel13[[#This Row],[Maj.kulu
(55) 2]]*1.2</f>
        <v>0</v>
      </c>
      <c r="P62" s="62">
        <f>Tabel13[[#This Row],[Inv.
(15)3]]*1.22</f>
        <v>0</v>
      </c>
      <c r="Q62" s="69">
        <f>Tabel13[[#This Row],[Tööj.kulu
(50)3]]</f>
        <v>0</v>
      </c>
      <c r="R62" s="61">
        <f>Tabel13[[#This Row],[Maj.kulu
(55) 3]]*1.22</f>
        <v>4880</v>
      </c>
      <c r="S62" s="62">
        <f>Tabel13[[#This Row],[Inv.
(15)4]]*1.22</f>
        <v>0</v>
      </c>
      <c r="T62" s="69">
        <f>Tabel13[[#This Row],[Tööj.kulu
(50)4]]</f>
        <v>0</v>
      </c>
      <c r="U62" s="69">
        <f>Tabel13[[#This Row],[Maj.kulu
(55) 4]]*1.22</f>
        <v>4880</v>
      </c>
    </row>
    <row r="63" spans="1:21" x14ac:dyDescent="0.25">
      <c r="A63" s="65">
        <v>95</v>
      </c>
      <c r="B63" s="66" t="s">
        <v>37</v>
      </c>
      <c r="C63" s="67" t="s">
        <v>139</v>
      </c>
      <c r="D63" s="68" t="s">
        <v>142</v>
      </c>
      <c r="E63" s="58">
        <f>SUM(Tabel134[[#This Row],[2023]]+Tabel134[[#This Row],[2024 lisanduv]])</f>
        <v>61000</v>
      </c>
      <c r="F63" s="59">
        <f>SUM(Tabel134[[#This Row],[Inv.
(15)]:[Maj.kulu
(55) ]])</f>
        <v>0</v>
      </c>
      <c r="G63" s="59">
        <f>SUM(Tabel134[[#This Row],[Inv.
(15)2]:[Maj.kulu
(55) 2]])</f>
        <v>0</v>
      </c>
      <c r="H63" s="59">
        <f>SUM(Tabel134[[#This Row],[Inv.
(15)3]:[Maj.kulu
(55) 3]])</f>
        <v>61000</v>
      </c>
      <c r="I63" s="60">
        <f>SUM(Tabel134[[#This Row],[Inv.
(15)4]:[Maj.kulu
(55) 4]])</f>
        <v>61000</v>
      </c>
      <c r="J63" s="69">
        <f>Tabel13[[#This Row],[Inv.
(15)]]*1.2</f>
        <v>0</v>
      </c>
      <c r="K63" s="69">
        <f>Tabel13[[#This Row],[Tööj.kulu
(50)]]</f>
        <v>0</v>
      </c>
      <c r="L63" s="61">
        <f>Tabel13[[#This Row],[Maj.kulu
(55) ]]*1.2</f>
        <v>0</v>
      </c>
      <c r="M63" s="62">
        <f>Tabel13[[#This Row],[Inv.
(15)2]]*1.2</f>
        <v>0</v>
      </c>
      <c r="N63" s="69">
        <f>Tabel13[[#This Row],[Tööj.kulu
(50)2]]</f>
        <v>0</v>
      </c>
      <c r="O63" s="61">
        <f>Tabel13[[#This Row],[Maj.kulu
(55) 2]]*1.2</f>
        <v>0</v>
      </c>
      <c r="P63" s="62">
        <f>Tabel13[[#This Row],[Inv.
(15)3]]*1.22</f>
        <v>0</v>
      </c>
      <c r="Q63" s="69">
        <f>Tabel13[[#This Row],[Tööj.kulu
(50)3]]</f>
        <v>0</v>
      </c>
      <c r="R63" s="61">
        <f>Tabel13[[#This Row],[Maj.kulu
(55) 3]]*1.22</f>
        <v>61000</v>
      </c>
      <c r="S63" s="62">
        <f>Tabel13[[#This Row],[Inv.
(15)4]]*1.22</f>
        <v>0</v>
      </c>
      <c r="T63" s="69">
        <f>Tabel13[[#This Row],[Tööj.kulu
(50)4]]</f>
        <v>0</v>
      </c>
      <c r="U63" s="69">
        <f>Tabel13[[#This Row],[Maj.kulu
(55) 4]]*1.22</f>
        <v>61000</v>
      </c>
    </row>
    <row r="64" spans="1:21" x14ac:dyDescent="0.25">
      <c r="A64" s="65">
        <v>96</v>
      </c>
      <c r="B64" s="66" t="s">
        <v>37</v>
      </c>
      <c r="C64" s="67" t="s">
        <v>139</v>
      </c>
      <c r="D64" s="68" t="s">
        <v>26</v>
      </c>
      <c r="E64" s="58">
        <f>SUM(Tabel134[[#This Row],[2023]]+Tabel134[[#This Row],[2024 lisanduv]])</f>
        <v>736200</v>
      </c>
      <c r="F64" s="59">
        <f>SUM(Tabel134[[#This Row],[Inv.
(15)]:[Maj.kulu
(55) ]])</f>
        <v>736200</v>
      </c>
      <c r="G64" s="59">
        <f>SUM(Tabel134[[#This Row],[Inv.
(15)2]:[Maj.kulu
(55) 2]])</f>
        <v>736200</v>
      </c>
      <c r="H64" s="59">
        <f>SUM(Tabel134[[#This Row],[Inv.
(15)3]:[Maj.kulu
(55) 3]])</f>
        <v>0</v>
      </c>
      <c r="I64" s="60">
        <f>SUM(Tabel134[[#This Row],[Inv.
(15)4]:[Maj.kulu
(55) 4]])</f>
        <v>748470</v>
      </c>
      <c r="J64" s="69">
        <f>Tabel13[[#This Row],[Inv.
(15)]]*1.2</f>
        <v>736200</v>
      </c>
      <c r="K64" s="69">
        <f>Tabel13[[#This Row],[Tööj.kulu
(50)]]</f>
        <v>0</v>
      </c>
      <c r="L64" s="61">
        <f>Tabel13[[#This Row],[Maj.kulu
(55) ]]*1.2</f>
        <v>0</v>
      </c>
      <c r="M64" s="62">
        <f>Tabel13[[#This Row],[Inv.
(15)2]]*1.2</f>
        <v>736200</v>
      </c>
      <c r="N64" s="69">
        <f>Tabel13[[#This Row],[Tööj.kulu
(50)2]]</f>
        <v>0</v>
      </c>
      <c r="O64" s="61">
        <f>Tabel13[[#This Row],[Maj.kulu
(55) 2]]*1.2</f>
        <v>0</v>
      </c>
      <c r="P64" s="62">
        <f>Tabel13[[#This Row],[Inv.
(15)3]]*1.22</f>
        <v>0</v>
      </c>
      <c r="Q64" s="69">
        <f>Tabel13[[#This Row],[Tööj.kulu
(50)3]]</f>
        <v>0</v>
      </c>
      <c r="R64" s="61">
        <f>Tabel13[[#This Row],[Maj.kulu
(55) 3]]*1.22</f>
        <v>0</v>
      </c>
      <c r="S64" s="62">
        <f>Tabel13[[#This Row],[Inv.
(15)4]]*1.22</f>
        <v>748470</v>
      </c>
      <c r="T64" s="69">
        <f>Tabel13[[#This Row],[Tööj.kulu
(50)4]]</f>
        <v>0</v>
      </c>
      <c r="U64" s="69">
        <f>Tabel13[[#This Row],[Maj.kulu
(55) 4]]*1.22</f>
        <v>0</v>
      </c>
    </row>
    <row r="65" spans="1:21" ht="30" x14ac:dyDescent="0.25">
      <c r="A65" s="65">
        <v>97</v>
      </c>
      <c r="B65" s="66" t="s">
        <v>37</v>
      </c>
      <c r="C65" s="67" t="s">
        <v>166</v>
      </c>
      <c r="D65" s="68" t="s">
        <v>143</v>
      </c>
      <c r="E65" s="58">
        <f>SUM(Tabel134[[#This Row],[2023]]+Tabel134[[#This Row],[2024 lisanduv]])</f>
        <v>79300</v>
      </c>
      <c r="F65" s="59">
        <f>SUM(Tabel134[[#This Row],[Inv.
(15)]:[Maj.kulu
(55) ]])</f>
        <v>0</v>
      </c>
      <c r="G65" s="59">
        <f>SUM(Tabel134[[#This Row],[Inv.
(15)2]:[Maj.kulu
(55) 2]])</f>
        <v>0</v>
      </c>
      <c r="H65" s="59">
        <f>SUM(Tabel134[[#This Row],[Inv.
(15)3]:[Maj.kulu
(55) 3]])</f>
        <v>79300</v>
      </c>
      <c r="I65" s="60">
        <f>SUM(Tabel134[[#This Row],[Inv.
(15)4]:[Maj.kulu
(55) 4]])</f>
        <v>79300</v>
      </c>
      <c r="J65" s="69">
        <f>Tabel13[[#This Row],[Inv.
(15)]]*1.2</f>
        <v>0</v>
      </c>
      <c r="K65" s="69">
        <f>Tabel13[[#This Row],[Tööj.kulu
(50)]]</f>
        <v>0</v>
      </c>
      <c r="L65" s="61">
        <f>Tabel13[[#This Row],[Maj.kulu
(55) ]]*1.2</f>
        <v>0</v>
      </c>
      <c r="M65" s="62">
        <f>Tabel13[[#This Row],[Inv.
(15)2]]*1.2</f>
        <v>0</v>
      </c>
      <c r="N65" s="69">
        <f>Tabel13[[#This Row],[Tööj.kulu
(50)2]]</f>
        <v>0</v>
      </c>
      <c r="O65" s="61">
        <f>Tabel13[[#This Row],[Maj.kulu
(55) 2]]*1.2</f>
        <v>0</v>
      </c>
      <c r="P65" s="62">
        <f>Tabel13[[#This Row],[Inv.
(15)3]]*1.22</f>
        <v>0</v>
      </c>
      <c r="Q65" s="69">
        <f>Tabel13[[#This Row],[Tööj.kulu
(50)3]]</f>
        <v>0</v>
      </c>
      <c r="R65" s="61">
        <f>Tabel13[[#This Row],[Maj.kulu
(55) 3]]*1.22</f>
        <v>79300</v>
      </c>
      <c r="S65" s="62">
        <f>Tabel13[[#This Row],[Inv.
(15)4]]*1.22</f>
        <v>0</v>
      </c>
      <c r="T65" s="69">
        <f>Tabel13[[#This Row],[Tööj.kulu
(50)4]]</f>
        <v>0</v>
      </c>
      <c r="U65" s="69">
        <f>Tabel13[[#This Row],[Maj.kulu
(55) 4]]*1.22</f>
        <v>79300</v>
      </c>
    </row>
    <row r="66" spans="1:21" ht="30" x14ac:dyDescent="0.25">
      <c r="A66" s="65">
        <v>98</v>
      </c>
      <c r="B66" s="66" t="s">
        <v>37</v>
      </c>
      <c r="C66" s="67" t="s">
        <v>166</v>
      </c>
      <c r="D66" s="68" t="s">
        <v>144</v>
      </c>
      <c r="E66" s="58">
        <f>SUM(Tabel134[[#This Row],[2023]]+Tabel134[[#This Row],[2024 lisanduv]])</f>
        <v>70000</v>
      </c>
      <c r="F66" s="59">
        <f>SUM(Tabel134[[#This Row],[Inv.
(15)]:[Maj.kulu
(55) ]])</f>
        <v>0</v>
      </c>
      <c r="G66" s="59">
        <f>SUM(Tabel134[[#This Row],[Inv.
(15)2]:[Maj.kulu
(55) 2]])</f>
        <v>0</v>
      </c>
      <c r="H66" s="59">
        <f>SUM(Tabel134[[#This Row],[Inv.
(15)3]:[Maj.kulu
(55) 3]])</f>
        <v>70000</v>
      </c>
      <c r="I66" s="60">
        <f>SUM(Tabel134[[#This Row],[Inv.
(15)4]:[Maj.kulu
(55) 4]])</f>
        <v>70000</v>
      </c>
      <c r="J66" s="69">
        <f>Tabel13[[#This Row],[Inv.
(15)]]*1.2</f>
        <v>0</v>
      </c>
      <c r="K66" s="69">
        <f>Tabel13[[#This Row],[Tööj.kulu
(50)]]</f>
        <v>0</v>
      </c>
      <c r="L66" s="61">
        <f>Tabel13[[#This Row],[Maj.kulu
(55) ]]*1.2</f>
        <v>0</v>
      </c>
      <c r="M66" s="62">
        <f>Tabel13[[#This Row],[Inv.
(15)2]]*1.2</f>
        <v>0</v>
      </c>
      <c r="N66" s="69">
        <f>Tabel13[[#This Row],[Tööj.kulu
(50)2]]</f>
        <v>0</v>
      </c>
      <c r="O66" s="61">
        <f>Tabel13[[#This Row],[Maj.kulu
(55) 2]]*1.2</f>
        <v>0</v>
      </c>
      <c r="P66" s="62">
        <f>Tabel13[[#This Row],[Inv.
(15)3]]*1.22</f>
        <v>0</v>
      </c>
      <c r="Q66" s="69">
        <f>Tabel13[[#This Row],[Tööj.kulu
(50)3]]</f>
        <v>70000</v>
      </c>
      <c r="R66" s="61">
        <f>Tabel13[[#This Row],[Maj.kulu
(55) 3]]*1.22</f>
        <v>0</v>
      </c>
      <c r="S66" s="62">
        <f>Tabel13[[#This Row],[Inv.
(15)4]]*1.22</f>
        <v>0</v>
      </c>
      <c r="T66" s="69">
        <f>Tabel13[[#This Row],[Tööj.kulu
(50)4]]</f>
        <v>70000</v>
      </c>
      <c r="U66" s="69">
        <f>Tabel13[[#This Row],[Maj.kulu
(55) 4]]*1.22</f>
        <v>0</v>
      </c>
    </row>
    <row r="67" spans="1:21" x14ac:dyDescent="0.25">
      <c r="A67" s="65">
        <v>99</v>
      </c>
      <c r="B67" s="66" t="s">
        <v>177</v>
      </c>
      <c r="C67" s="67" t="s">
        <v>166</v>
      </c>
      <c r="D67" s="68" t="s">
        <v>145</v>
      </c>
      <c r="E67" s="58">
        <f>SUM(Tabel134[[#This Row],[2023]]+Tabel134[[#This Row],[2024 lisanduv]])</f>
        <v>281820</v>
      </c>
      <c r="F67" s="59">
        <f>SUM(Tabel134[[#This Row],[Inv.
(15)]:[Maj.kulu
(55) ]])</f>
        <v>0</v>
      </c>
      <c r="G67" s="59">
        <f>SUM(Tabel134[[#This Row],[Inv.
(15)2]:[Maj.kulu
(55) 2]])</f>
        <v>0</v>
      </c>
      <c r="H67" s="59">
        <f>SUM(Tabel134[[#This Row],[Inv.
(15)3]:[Maj.kulu
(55) 3]])</f>
        <v>281820</v>
      </c>
      <c r="I67" s="60">
        <f>SUM(Tabel134[[#This Row],[Inv.
(15)4]:[Maj.kulu
(55) 4]])</f>
        <v>281820</v>
      </c>
      <c r="J67" s="69">
        <f>Tabel13[[#This Row],[Inv.
(15)]]*1.2</f>
        <v>0</v>
      </c>
      <c r="K67" s="69">
        <f>Tabel13[[#This Row],[Tööj.kulu
(50)]]</f>
        <v>0</v>
      </c>
      <c r="L67" s="61">
        <f>Tabel13[[#This Row],[Maj.kulu
(55) ]]*1.2</f>
        <v>0</v>
      </c>
      <c r="M67" s="62">
        <f>Tabel13[[#This Row],[Inv.
(15)2]]*1.2</f>
        <v>0</v>
      </c>
      <c r="N67" s="69">
        <f>Tabel13[[#This Row],[Tööj.kulu
(50)2]]</f>
        <v>0</v>
      </c>
      <c r="O67" s="61">
        <f>Tabel13[[#This Row],[Maj.kulu
(55) 2]]*1.2</f>
        <v>0</v>
      </c>
      <c r="P67" s="62">
        <f>Tabel13[[#This Row],[Inv.
(15)3]]*1.22</f>
        <v>281820</v>
      </c>
      <c r="Q67" s="69">
        <f>Tabel13[[#This Row],[Tööj.kulu
(50)3]]</f>
        <v>0</v>
      </c>
      <c r="R67" s="61">
        <f>Tabel13[[#This Row],[Maj.kulu
(55) 3]]*1.22</f>
        <v>0</v>
      </c>
      <c r="S67" s="62">
        <f>Tabel13[[#This Row],[Inv.
(15)4]]*1.22</f>
        <v>281820</v>
      </c>
      <c r="T67" s="69">
        <f>Tabel13[[#This Row],[Tööj.kulu
(50)4]]</f>
        <v>0</v>
      </c>
      <c r="U67" s="69">
        <f>Tabel13[[#This Row],[Maj.kulu
(55) 4]]*1.22</f>
        <v>0</v>
      </c>
    </row>
    <row r="68" spans="1:21" x14ac:dyDescent="0.25">
      <c r="A68" s="65">
        <v>100</v>
      </c>
      <c r="B68" s="66" t="s">
        <v>177</v>
      </c>
      <c r="C68" s="67" t="s">
        <v>166</v>
      </c>
      <c r="D68" s="68" t="s">
        <v>146</v>
      </c>
      <c r="E68" s="58">
        <f>SUM(Tabel134[[#This Row],[2023]]+Tabel134[[#This Row],[2024 lisanduv]])</f>
        <v>209400</v>
      </c>
      <c r="F68" s="59">
        <f>SUM(Tabel134[[#This Row],[Inv.
(15)]:[Maj.kulu
(55) ]])</f>
        <v>0</v>
      </c>
      <c r="G68" s="59">
        <f>SUM(Tabel134[[#This Row],[Inv.
(15)2]:[Maj.kulu
(55) 2]])</f>
        <v>0</v>
      </c>
      <c r="H68" s="59">
        <f>SUM(Tabel134[[#This Row],[Inv.
(15)3]:[Maj.kulu
(55) 3]])</f>
        <v>209400</v>
      </c>
      <c r="I68" s="60">
        <f>SUM(Tabel134[[#This Row],[Inv.
(15)4]:[Maj.kulu
(55) 4]])</f>
        <v>209400</v>
      </c>
      <c r="J68" s="69">
        <f>Tabel13[[#This Row],[Inv.
(15)]]*1.2</f>
        <v>0</v>
      </c>
      <c r="K68" s="69">
        <f>Tabel13[[#This Row],[Tööj.kulu
(50)]]</f>
        <v>0</v>
      </c>
      <c r="L68" s="61">
        <f>Tabel13[[#This Row],[Maj.kulu
(55) ]]*1.2</f>
        <v>0</v>
      </c>
      <c r="M68" s="62">
        <f>Tabel13[[#This Row],[Inv.
(15)2]]*1.2</f>
        <v>0</v>
      </c>
      <c r="N68" s="69">
        <f>Tabel13[[#This Row],[Tööj.kulu
(50)2]]</f>
        <v>0</v>
      </c>
      <c r="O68" s="61">
        <f>Tabel13[[#This Row],[Maj.kulu
(55) 2]]*1.2</f>
        <v>0</v>
      </c>
      <c r="P68" s="62">
        <f>Tabel13[[#This Row],[Inv.
(15)3]]*1.22</f>
        <v>0</v>
      </c>
      <c r="Q68" s="69">
        <f>Tabel13[[#This Row],[Tööj.kulu
(50)3]]</f>
        <v>63000</v>
      </c>
      <c r="R68" s="61">
        <f>Tabel13[[#This Row],[Maj.kulu
(55) 3]]*1.22</f>
        <v>146400</v>
      </c>
      <c r="S68" s="62">
        <f>Tabel13[[#This Row],[Inv.
(15)4]]*1.22</f>
        <v>0</v>
      </c>
      <c r="T68" s="69">
        <f>Tabel13[[#This Row],[Tööj.kulu
(50)4]]</f>
        <v>63000</v>
      </c>
      <c r="U68" s="69">
        <f>Tabel13[[#This Row],[Maj.kulu
(55) 4]]*1.22</f>
        <v>146400</v>
      </c>
    </row>
    <row r="69" spans="1:21" x14ac:dyDescent="0.25">
      <c r="A69" s="65">
        <v>101</v>
      </c>
      <c r="B69" s="66" t="s">
        <v>37</v>
      </c>
      <c r="C69" s="67" t="s">
        <v>166</v>
      </c>
      <c r="D69" s="68" t="s">
        <v>147</v>
      </c>
      <c r="E69" s="58">
        <f>SUM(Tabel134[[#This Row],[2023]]+Tabel134[[#This Row],[2024 lisanduv]])</f>
        <v>97600</v>
      </c>
      <c r="F69" s="59">
        <f>SUM(Tabel134[[#This Row],[Inv.
(15)]:[Maj.kulu
(55) ]])</f>
        <v>0</v>
      </c>
      <c r="G69" s="59">
        <f>SUM(Tabel134[[#This Row],[Inv.
(15)2]:[Maj.kulu
(55) 2]])</f>
        <v>0</v>
      </c>
      <c r="H69" s="59">
        <f>SUM(Tabel134[[#This Row],[Inv.
(15)3]:[Maj.kulu
(55) 3]])</f>
        <v>97600</v>
      </c>
      <c r="I69" s="60">
        <f>SUM(Tabel134[[#This Row],[Inv.
(15)4]:[Maj.kulu
(55) 4]])</f>
        <v>97600</v>
      </c>
      <c r="J69" s="69">
        <f>Tabel13[[#This Row],[Inv.
(15)]]*1.2</f>
        <v>0</v>
      </c>
      <c r="K69" s="69">
        <f>Tabel13[[#This Row],[Tööj.kulu
(50)]]</f>
        <v>0</v>
      </c>
      <c r="L69" s="61">
        <f>Tabel13[[#This Row],[Maj.kulu
(55) ]]*1.2</f>
        <v>0</v>
      </c>
      <c r="M69" s="62">
        <f>Tabel13[[#This Row],[Inv.
(15)2]]*1.2</f>
        <v>0</v>
      </c>
      <c r="N69" s="69">
        <f>Tabel13[[#This Row],[Tööj.kulu
(50)2]]</f>
        <v>0</v>
      </c>
      <c r="O69" s="61">
        <f>Tabel13[[#This Row],[Maj.kulu
(55) 2]]*1.2</f>
        <v>0</v>
      </c>
      <c r="P69" s="62">
        <f>Tabel13[[#This Row],[Inv.
(15)3]]*1.22</f>
        <v>0</v>
      </c>
      <c r="Q69" s="69">
        <f>Tabel13[[#This Row],[Tööj.kulu
(50)3]]</f>
        <v>0</v>
      </c>
      <c r="R69" s="61">
        <f>Tabel13[[#This Row],[Maj.kulu
(55) 3]]*1.22</f>
        <v>97600</v>
      </c>
      <c r="S69" s="62">
        <f>Tabel13[[#This Row],[Inv.
(15)4]]*1.22</f>
        <v>0</v>
      </c>
      <c r="T69" s="69">
        <f>Tabel13[[#This Row],[Tööj.kulu
(50)4]]</f>
        <v>0</v>
      </c>
      <c r="U69" s="69">
        <f>Tabel13[[#This Row],[Maj.kulu
(55) 4]]*1.22</f>
        <v>97600</v>
      </c>
    </row>
    <row r="70" spans="1:21" x14ac:dyDescent="0.25">
      <c r="A70" s="65">
        <v>102</v>
      </c>
      <c r="B70" s="66" t="s">
        <v>37</v>
      </c>
      <c r="C70" s="67" t="s">
        <v>167</v>
      </c>
      <c r="D70" s="68" t="s">
        <v>148</v>
      </c>
      <c r="E70" s="58">
        <f>SUM(Tabel134[[#This Row],[2023]]+Tabel134[[#This Row],[2024 lisanduv]])</f>
        <v>60000</v>
      </c>
      <c r="F70" s="59">
        <f>SUM(Tabel134[[#This Row],[Inv.
(15)]:[Maj.kulu
(55) ]])</f>
        <v>60000</v>
      </c>
      <c r="G70" s="59">
        <f>SUM(Tabel134[[#This Row],[Inv.
(15)2]:[Maj.kulu
(55) 2]])</f>
        <v>60000</v>
      </c>
      <c r="H70" s="59">
        <f>SUM(Tabel134[[#This Row],[Inv.
(15)3]:[Maj.kulu
(55) 3]])</f>
        <v>0</v>
      </c>
      <c r="I70" s="60">
        <f>SUM(Tabel134[[#This Row],[Inv.
(15)4]:[Maj.kulu
(55) 4]])</f>
        <v>61000</v>
      </c>
      <c r="J70" s="69">
        <f>Tabel13[[#This Row],[Inv.
(15)]]*1.2</f>
        <v>0</v>
      </c>
      <c r="K70" s="69">
        <f>Tabel13[[#This Row],[Tööj.kulu
(50)]]</f>
        <v>0</v>
      </c>
      <c r="L70" s="61">
        <f>Tabel13[[#This Row],[Maj.kulu
(55) ]]*1.2</f>
        <v>60000</v>
      </c>
      <c r="M70" s="62">
        <f>Tabel13[[#This Row],[Inv.
(15)2]]*1.2</f>
        <v>0</v>
      </c>
      <c r="N70" s="69">
        <f>Tabel13[[#This Row],[Tööj.kulu
(50)2]]</f>
        <v>0</v>
      </c>
      <c r="O70" s="61">
        <f>Tabel13[[#This Row],[Maj.kulu
(55) 2]]*1.2</f>
        <v>60000</v>
      </c>
      <c r="P70" s="62">
        <f>Tabel13[[#This Row],[Inv.
(15)3]]*1.22</f>
        <v>0</v>
      </c>
      <c r="Q70" s="69">
        <f>Tabel13[[#This Row],[Tööj.kulu
(50)3]]</f>
        <v>0</v>
      </c>
      <c r="R70" s="61">
        <f>Tabel13[[#This Row],[Maj.kulu
(55) 3]]*1.22</f>
        <v>0</v>
      </c>
      <c r="S70" s="62">
        <f>Tabel13[[#This Row],[Inv.
(15)4]]*1.22</f>
        <v>0</v>
      </c>
      <c r="T70" s="69">
        <f>Tabel13[[#This Row],[Tööj.kulu
(50)4]]</f>
        <v>0</v>
      </c>
      <c r="U70" s="69">
        <f>Tabel13[[#This Row],[Maj.kulu
(55) 4]]*1.22</f>
        <v>61000</v>
      </c>
    </row>
    <row r="71" spans="1:21" ht="30" x14ac:dyDescent="0.25">
      <c r="A71" s="65">
        <v>103</v>
      </c>
      <c r="B71" s="66" t="s">
        <v>37</v>
      </c>
      <c r="C71" s="67" t="s">
        <v>167</v>
      </c>
      <c r="D71" s="68" t="s">
        <v>149</v>
      </c>
      <c r="E71" s="58">
        <f>SUM(Tabel134[[#This Row],[2023]]+Tabel134[[#This Row],[2024 lisanduv]])</f>
        <v>120000</v>
      </c>
      <c r="F71" s="59">
        <f>SUM(Tabel134[[#This Row],[Inv.
(15)]:[Maj.kulu
(55) ]])</f>
        <v>120000</v>
      </c>
      <c r="G71" s="59">
        <f>SUM(Tabel134[[#This Row],[Inv.
(15)2]:[Maj.kulu
(55) 2]])</f>
        <v>120000</v>
      </c>
      <c r="H71" s="59">
        <f>SUM(Tabel134[[#This Row],[Inv.
(15)3]:[Maj.kulu
(55) 3]])</f>
        <v>0</v>
      </c>
      <c r="I71" s="60">
        <f>SUM(Tabel134[[#This Row],[Inv.
(15)4]:[Maj.kulu
(55) 4]])</f>
        <v>122000</v>
      </c>
      <c r="J71" s="69">
        <f>Tabel13[[#This Row],[Inv.
(15)]]*1.2</f>
        <v>0</v>
      </c>
      <c r="K71" s="69">
        <f>Tabel13[[#This Row],[Tööj.kulu
(50)]]</f>
        <v>0</v>
      </c>
      <c r="L71" s="61">
        <f>Tabel13[[#This Row],[Maj.kulu
(55) ]]*1.2</f>
        <v>120000</v>
      </c>
      <c r="M71" s="62">
        <f>Tabel13[[#This Row],[Inv.
(15)2]]*1.2</f>
        <v>0</v>
      </c>
      <c r="N71" s="69">
        <f>Tabel13[[#This Row],[Tööj.kulu
(50)2]]</f>
        <v>0</v>
      </c>
      <c r="O71" s="61">
        <f>Tabel13[[#This Row],[Maj.kulu
(55) 2]]*1.2</f>
        <v>120000</v>
      </c>
      <c r="P71" s="62">
        <f>Tabel13[[#This Row],[Inv.
(15)3]]*1.22</f>
        <v>0</v>
      </c>
      <c r="Q71" s="69">
        <f>Tabel13[[#This Row],[Tööj.kulu
(50)3]]</f>
        <v>0</v>
      </c>
      <c r="R71" s="61">
        <f>Tabel13[[#This Row],[Maj.kulu
(55) 3]]*1.22</f>
        <v>0</v>
      </c>
      <c r="S71" s="62">
        <f>Tabel13[[#This Row],[Inv.
(15)4]]*1.22</f>
        <v>0</v>
      </c>
      <c r="T71" s="69">
        <f>Tabel13[[#This Row],[Tööj.kulu
(50)4]]</f>
        <v>0</v>
      </c>
      <c r="U71" s="69">
        <f>Tabel13[[#This Row],[Maj.kulu
(55) 4]]*1.22</f>
        <v>122000</v>
      </c>
    </row>
    <row r="72" spans="1:21" ht="30" x14ac:dyDescent="0.25">
      <c r="A72" s="65">
        <v>104</v>
      </c>
      <c r="B72" s="66" t="s">
        <v>37</v>
      </c>
      <c r="C72" s="67" t="s">
        <v>167</v>
      </c>
      <c r="D72" s="68" t="s">
        <v>150</v>
      </c>
      <c r="E72" s="58">
        <f>SUM(Tabel134[[#This Row],[2023]]+Tabel134[[#This Row],[2024 lisanduv]])</f>
        <v>162000</v>
      </c>
      <c r="F72" s="59">
        <f>SUM(Tabel134[[#This Row],[Inv.
(15)]:[Maj.kulu
(55) ]])</f>
        <v>162000</v>
      </c>
      <c r="G72" s="59">
        <f>SUM(Tabel134[[#This Row],[Inv.
(15)2]:[Maj.kulu
(55) 2]])</f>
        <v>162000</v>
      </c>
      <c r="H72" s="59">
        <f>SUM(Tabel134[[#This Row],[Inv.
(15)3]:[Maj.kulu
(55) 3]])</f>
        <v>0</v>
      </c>
      <c r="I72" s="60">
        <f>SUM(Tabel134[[#This Row],[Inv.
(15)4]:[Maj.kulu
(55) 4]])</f>
        <v>164700</v>
      </c>
      <c r="J72" s="69">
        <f>Tabel13[[#This Row],[Inv.
(15)]]*1.2</f>
        <v>0</v>
      </c>
      <c r="K72" s="69">
        <f>Tabel13[[#This Row],[Tööj.kulu
(50)]]</f>
        <v>0</v>
      </c>
      <c r="L72" s="61">
        <f>Tabel13[[#This Row],[Maj.kulu
(55) ]]*1.2</f>
        <v>162000</v>
      </c>
      <c r="M72" s="62">
        <f>Tabel13[[#This Row],[Inv.
(15)2]]*1.2</f>
        <v>0</v>
      </c>
      <c r="N72" s="69">
        <f>Tabel13[[#This Row],[Tööj.kulu
(50)2]]</f>
        <v>0</v>
      </c>
      <c r="O72" s="61">
        <f>Tabel13[[#This Row],[Maj.kulu
(55) 2]]*1.2</f>
        <v>162000</v>
      </c>
      <c r="P72" s="62">
        <f>Tabel13[[#This Row],[Inv.
(15)3]]*1.22</f>
        <v>0</v>
      </c>
      <c r="Q72" s="69">
        <f>Tabel13[[#This Row],[Tööj.kulu
(50)3]]</f>
        <v>0</v>
      </c>
      <c r="R72" s="61">
        <f>Tabel13[[#This Row],[Maj.kulu
(55) 3]]*1.22</f>
        <v>0</v>
      </c>
      <c r="S72" s="62">
        <f>Tabel13[[#This Row],[Inv.
(15)4]]*1.22</f>
        <v>0</v>
      </c>
      <c r="T72" s="69">
        <f>Tabel13[[#This Row],[Tööj.kulu
(50)4]]</f>
        <v>0</v>
      </c>
      <c r="U72" s="69">
        <f>Tabel13[[#This Row],[Maj.kulu
(55) 4]]*1.22</f>
        <v>164700</v>
      </c>
    </row>
    <row r="73" spans="1:21" ht="30" x14ac:dyDescent="0.25">
      <c r="A73" s="65">
        <v>105</v>
      </c>
      <c r="B73" s="66" t="s">
        <v>37</v>
      </c>
      <c r="C73" s="67" t="s">
        <v>167</v>
      </c>
      <c r="D73" s="68" t="s">
        <v>151</v>
      </c>
      <c r="E73" s="58">
        <f>SUM(Tabel134[[#This Row],[2023]]+Tabel134[[#This Row],[2024 lisanduv]])</f>
        <v>426100</v>
      </c>
      <c r="F73" s="59">
        <f>SUM(Tabel134[[#This Row],[Inv.
(15)]:[Maj.kulu
(55) ]])</f>
        <v>54000</v>
      </c>
      <c r="G73" s="59">
        <f>SUM(Tabel134[[#This Row],[Inv.
(15)2]:[Maj.kulu
(55) 2]])</f>
        <v>54000</v>
      </c>
      <c r="H73" s="59">
        <f>SUM(Tabel134[[#This Row],[Inv.
(15)3]:[Maj.kulu
(55) 3]])</f>
        <v>372100</v>
      </c>
      <c r="I73" s="60">
        <f>SUM(Tabel134[[#This Row],[Inv.
(15)4]:[Maj.kulu
(55) 4]])</f>
        <v>427000</v>
      </c>
      <c r="J73" s="69">
        <f>Tabel13[[#This Row],[Inv.
(15)]]*1.2</f>
        <v>0</v>
      </c>
      <c r="K73" s="69">
        <f>Tabel13[[#This Row],[Tööj.kulu
(50)]]</f>
        <v>0</v>
      </c>
      <c r="L73" s="61">
        <f>Tabel13[[#This Row],[Maj.kulu
(55) ]]*1.2</f>
        <v>54000</v>
      </c>
      <c r="M73" s="62">
        <f>Tabel13[[#This Row],[Inv.
(15)2]]*1.2</f>
        <v>0</v>
      </c>
      <c r="N73" s="69">
        <f>Tabel13[[#This Row],[Tööj.kulu
(50)2]]</f>
        <v>0</v>
      </c>
      <c r="O73" s="61">
        <f>Tabel13[[#This Row],[Maj.kulu
(55) 2]]*1.2</f>
        <v>54000</v>
      </c>
      <c r="P73" s="62">
        <f>Tabel13[[#This Row],[Inv.
(15)3]]*1.22</f>
        <v>0</v>
      </c>
      <c r="Q73" s="69">
        <f>Tabel13[[#This Row],[Tööj.kulu
(50)3]]</f>
        <v>0</v>
      </c>
      <c r="R73" s="61">
        <f>Tabel13[[#This Row],[Maj.kulu
(55) 3]]*1.22</f>
        <v>372100</v>
      </c>
      <c r="S73" s="62">
        <f>Tabel13[[#This Row],[Inv.
(15)4]]*1.22</f>
        <v>0</v>
      </c>
      <c r="T73" s="69">
        <f>Tabel13[[#This Row],[Tööj.kulu
(50)4]]</f>
        <v>0</v>
      </c>
      <c r="U73" s="69">
        <f>Tabel13[[#This Row],[Maj.kulu
(55) 4]]*1.22</f>
        <v>427000</v>
      </c>
    </row>
    <row r="74" spans="1:21" x14ac:dyDescent="0.25">
      <c r="A74" s="65">
        <v>106</v>
      </c>
      <c r="B74" s="66" t="s">
        <v>37</v>
      </c>
      <c r="C74" s="67" t="s">
        <v>167</v>
      </c>
      <c r="D74" s="68" t="s">
        <v>152</v>
      </c>
      <c r="E74" s="58">
        <f>SUM(Tabel134[[#This Row],[2023]]+Tabel134[[#This Row],[2024 lisanduv]])</f>
        <v>40140</v>
      </c>
      <c r="F74" s="59">
        <f>SUM(Tabel134[[#This Row],[Inv.
(15)]:[Maj.kulu
(55) ]])</f>
        <v>0</v>
      </c>
      <c r="G74" s="59">
        <f>SUM(Tabel134[[#This Row],[Inv.
(15)2]:[Maj.kulu
(55) 2]])</f>
        <v>0</v>
      </c>
      <c r="H74" s="59">
        <f>SUM(Tabel134[[#This Row],[Inv.
(15)3]:[Maj.kulu
(55) 3]])</f>
        <v>40140</v>
      </c>
      <c r="I74" s="60">
        <f>SUM(Tabel134[[#This Row],[Inv.
(15)4]:[Maj.kulu
(55) 4]])</f>
        <v>40140</v>
      </c>
      <c r="J74" s="69">
        <f>Tabel13[[#This Row],[Inv.
(15)]]*1.2</f>
        <v>0</v>
      </c>
      <c r="K74" s="69">
        <f>Tabel13[[#This Row],[Tööj.kulu
(50)]]</f>
        <v>0</v>
      </c>
      <c r="L74" s="61">
        <f>Tabel13[[#This Row],[Maj.kulu
(55) ]]*1.2</f>
        <v>0</v>
      </c>
      <c r="M74" s="62">
        <f>Tabel13[[#This Row],[Inv.
(15)2]]*1.2</f>
        <v>0</v>
      </c>
      <c r="N74" s="69">
        <f>Tabel13[[#This Row],[Tööj.kulu
(50)2]]</f>
        <v>0</v>
      </c>
      <c r="O74" s="61">
        <f>Tabel13[[#This Row],[Maj.kulu
(55) 2]]*1.2</f>
        <v>0</v>
      </c>
      <c r="P74" s="62">
        <f>Tabel13[[#This Row],[Inv.
(15)3]]*1.22</f>
        <v>0</v>
      </c>
      <c r="Q74" s="69">
        <f>Tabel13[[#This Row],[Tööj.kulu
(50)3]]</f>
        <v>40140</v>
      </c>
      <c r="R74" s="61">
        <f>Tabel13[[#This Row],[Maj.kulu
(55) 3]]*1.22</f>
        <v>0</v>
      </c>
      <c r="S74" s="62">
        <f>Tabel13[[#This Row],[Inv.
(15)4]]*1.22</f>
        <v>0</v>
      </c>
      <c r="T74" s="69">
        <f>Tabel13[[#This Row],[Tööj.kulu
(50)4]]</f>
        <v>40140</v>
      </c>
      <c r="U74" s="69">
        <f>Tabel13[[#This Row],[Maj.kulu
(55) 4]]*1.22</f>
        <v>0</v>
      </c>
    </row>
    <row r="75" spans="1:21" ht="30" x14ac:dyDescent="0.25">
      <c r="A75" s="65">
        <v>107</v>
      </c>
      <c r="B75" s="66" t="s">
        <v>37</v>
      </c>
      <c r="C75" s="67" t="s">
        <v>167</v>
      </c>
      <c r="D75" s="68" t="s">
        <v>153</v>
      </c>
      <c r="E75" s="58">
        <f>SUM(Tabel134[[#This Row],[2023]]+Tabel134[[#This Row],[2024 lisanduv]])</f>
        <v>144000</v>
      </c>
      <c r="F75" s="59">
        <f>SUM(Tabel134[[#This Row],[Inv.
(15)]:[Maj.kulu
(55) ]])</f>
        <v>144000</v>
      </c>
      <c r="G75" s="59">
        <f>SUM(Tabel134[[#This Row],[Inv.
(15)2]:[Maj.kulu
(55) 2]])</f>
        <v>144000</v>
      </c>
      <c r="H75" s="59">
        <f>SUM(Tabel134[[#This Row],[Inv.
(15)3]:[Maj.kulu
(55) 3]])</f>
        <v>0</v>
      </c>
      <c r="I75" s="60">
        <f>SUM(Tabel134[[#This Row],[Inv.
(15)4]:[Maj.kulu
(55) 4]])</f>
        <v>146400</v>
      </c>
      <c r="J75" s="69">
        <f>Tabel13[[#This Row],[Inv.
(15)]]*1.2</f>
        <v>0</v>
      </c>
      <c r="K75" s="69">
        <f>Tabel13[[#This Row],[Tööj.kulu
(50)]]</f>
        <v>0</v>
      </c>
      <c r="L75" s="61">
        <f>Tabel13[[#This Row],[Maj.kulu
(55) ]]*1.2</f>
        <v>144000</v>
      </c>
      <c r="M75" s="62">
        <f>Tabel13[[#This Row],[Inv.
(15)2]]*1.2</f>
        <v>0</v>
      </c>
      <c r="N75" s="69">
        <f>Tabel13[[#This Row],[Tööj.kulu
(50)2]]</f>
        <v>0</v>
      </c>
      <c r="O75" s="61">
        <f>Tabel13[[#This Row],[Maj.kulu
(55) 2]]*1.2</f>
        <v>144000</v>
      </c>
      <c r="P75" s="62">
        <f>Tabel13[[#This Row],[Inv.
(15)3]]*1.22</f>
        <v>0</v>
      </c>
      <c r="Q75" s="69">
        <f>Tabel13[[#This Row],[Tööj.kulu
(50)3]]</f>
        <v>0</v>
      </c>
      <c r="R75" s="61">
        <f>Tabel13[[#This Row],[Maj.kulu
(55) 3]]*1.22</f>
        <v>0</v>
      </c>
      <c r="S75" s="62">
        <f>Tabel13[[#This Row],[Inv.
(15)4]]*1.22</f>
        <v>0</v>
      </c>
      <c r="T75" s="69">
        <f>Tabel13[[#This Row],[Tööj.kulu
(50)4]]</f>
        <v>0</v>
      </c>
      <c r="U75" s="69">
        <f>Tabel13[[#This Row],[Maj.kulu
(55) 4]]*1.22</f>
        <v>146400</v>
      </c>
    </row>
    <row r="76" spans="1:21" ht="30" x14ac:dyDescent="0.25">
      <c r="A76" s="65">
        <v>108</v>
      </c>
      <c r="B76" s="66" t="s">
        <v>37</v>
      </c>
      <c r="C76" s="67" t="s">
        <v>167</v>
      </c>
      <c r="D76" s="68" t="s">
        <v>154</v>
      </c>
      <c r="E76" s="58">
        <f>SUM(Tabel134[[#This Row],[2023]]+Tabel134[[#This Row],[2024 lisanduv]])</f>
        <v>97600</v>
      </c>
      <c r="F76" s="59">
        <f>SUM(Tabel134[[#This Row],[Inv.
(15)]:[Maj.kulu
(55) ]])</f>
        <v>0</v>
      </c>
      <c r="G76" s="59">
        <f>SUM(Tabel134[[#This Row],[Inv.
(15)2]:[Maj.kulu
(55) 2]])</f>
        <v>0</v>
      </c>
      <c r="H76" s="59">
        <f>SUM(Tabel134[[#This Row],[Inv.
(15)3]:[Maj.kulu
(55) 3]])</f>
        <v>97600</v>
      </c>
      <c r="I76" s="60">
        <f>SUM(Tabel134[[#This Row],[Inv.
(15)4]:[Maj.kulu
(55) 4]])</f>
        <v>97600</v>
      </c>
      <c r="J76" s="69">
        <f>Tabel13[[#This Row],[Inv.
(15)]]*1.2</f>
        <v>0</v>
      </c>
      <c r="K76" s="69">
        <f>Tabel13[[#This Row],[Tööj.kulu
(50)]]</f>
        <v>0</v>
      </c>
      <c r="L76" s="61">
        <f>Tabel13[[#This Row],[Maj.kulu
(55) ]]*1.2</f>
        <v>0</v>
      </c>
      <c r="M76" s="62">
        <f>Tabel13[[#This Row],[Inv.
(15)2]]*1.2</f>
        <v>0</v>
      </c>
      <c r="N76" s="69">
        <f>Tabel13[[#This Row],[Tööj.kulu
(50)2]]</f>
        <v>0</v>
      </c>
      <c r="O76" s="61">
        <f>Tabel13[[#This Row],[Maj.kulu
(55) 2]]*1.2</f>
        <v>0</v>
      </c>
      <c r="P76" s="62">
        <f>Tabel13[[#This Row],[Inv.
(15)3]]*1.22</f>
        <v>0</v>
      </c>
      <c r="Q76" s="69">
        <f>Tabel13[[#This Row],[Tööj.kulu
(50)3]]</f>
        <v>0</v>
      </c>
      <c r="R76" s="61">
        <f>Tabel13[[#This Row],[Maj.kulu
(55) 3]]*1.22</f>
        <v>97600</v>
      </c>
      <c r="S76" s="62">
        <f>Tabel13[[#This Row],[Inv.
(15)4]]*1.22</f>
        <v>0</v>
      </c>
      <c r="T76" s="69">
        <f>Tabel13[[#This Row],[Tööj.kulu
(50)4]]</f>
        <v>0</v>
      </c>
      <c r="U76" s="69">
        <f>Tabel13[[#This Row],[Maj.kulu
(55) 4]]*1.22</f>
        <v>97600</v>
      </c>
    </row>
    <row r="77" spans="1:21" x14ac:dyDescent="0.25">
      <c r="A77" s="65">
        <v>109</v>
      </c>
      <c r="B77" s="66" t="s">
        <v>37</v>
      </c>
      <c r="C77" s="67" t="s">
        <v>167</v>
      </c>
      <c r="D77" s="68" t="s">
        <v>152</v>
      </c>
      <c r="E77" s="58">
        <f>SUM(Tabel134[[#This Row],[2023]]+Tabel134[[#This Row],[2024 lisanduv]])</f>
        <v>55193</v>
      </c>
      <c r="F77" s="59">
        <f>SUM(Tabel134[[#This Row],[Inv.
(15)]:[Maj.kulu
(55) ]])</f>
        <v>0</v>
      </c>
      <c r="G77" s="59">
        <f>SUM(Tabel134[[#This Row],[Inv.
(15)2]:[Maj.kulu
(55) 2]])</f>
        <v>0</v>
      </c>
      <c r="H77" s="59">
        <f>SUM(Tabel134[[#This Row],[Inv.
(15)3]:[Maj.kulu
(55) 3]])</f>
        <v>55193</v>
      </c>
      <c r="I77" s="60">
        <f>SUM(Tabel134[[#This Row],[Inv.
(15)4]:[Maj.kulu
(55) 4]])</f>
        <v>55193</v>
      </c>
      <c r="J77" s="69">
        <f>Tabel13[[#This Row],[Inv.
(15)]]*1.2</f>
        <v>0</v>
      </c>
      <c r="K77" s="69">
        <f>Tabel13[[#This Row],[Tööj.kulu
(50)]]</f>
        <v>0</v>
      </c>
      <c r="L77" s="61">
        <f>Tabel13[[#This Row],[Maj.kulu
(55) ]]*1.2</f>
        <v>0</v>
      </c>
      <c r="M77" s="62">
        <f>Tabel13[[#This Row],[Inv.
(15)2]]*1.2</f>
        <v>0</v>
      </c>
      <c r="N77" s="69">
        <f>Tabel13[[#This Row],[Tööj.kulu
(50)2]]</f>
        <v>0</v>
      </c>
      <c r="O77" s="61">
        <f>Tabel13[[#This Row],[Maj.kulu
(55) 2]]*1.2</f>
        <v>0</v>
      </c>
      <c r="P77" s="62">
        <f>Tabel13[[#This Row],[Inv.
(15)3]]*1.22</f>
        <v>0</v>
      </c>
      <c r="Q77" s="69">
        <f>Tabel13[[#This Row],[Tööj.kulu
(50)3]]</f>
        <v>55193</v>
      </c>
      <c r="R77" s="61">
        <f>Tabel13[[#This Row],[Maj.kulu
(55) 3]]*1.22</f>
        <v>0</v>
      </c>
      <c r="S77" s="62">
        <f>Tabel13[[#This Row],[Inv.
(15)4]]*1.22</f>
        <v>0</v>
      </c>
      <c r="T77" s="69">
        <f>Tabel13[[#This Row],[Tööj.kulu
(50)4]]</f>
        <v>55193</v>
      </c>
      <c r="U77" s="69">
        <f>Tabel13[[#This Row],[Maj.kulu
(55) 4]]*1.22</f>
        <v>0</v>
      </c>
    </row>
    <row r="78" spans="1:21" ht="30" x14ac:dyDescent="0.25">
      <c r="A78" s="65">
        <v>110</v>
      </c>
      <c r="B78" s="66" t="s">
        <v>37</v>
      </c>
      <c r="C78" s="67" t="s">
        <v>167</v>
      </c>
      <c r="D78" s="68" t="s">
        <v>155</v>
      </c>
      <c r="E78" s="58">
        <f>SUM(Tabel134[[#This Row],[2023]]+Tabel134[[#This Row],[2024 lisanduv]])</f>
        <v>217600</v>
      </c>
      <c r="F78" s="59">
        <f>SUM(Tabel134[[#This Row],[Inv.
(15)]:[Maj.kulu
(55) ]])</f>
        <v>120000</v>
      </c>
      <c r="G78" s="59">
        <f>SUM(Tabel134[[#This Row],[Inv.
(15)2]:[Maj.kulu
(55) 2]])</f>
        <v>120000</v>
      </c>
      <c r="H78" s="59">
        <f>SUM(Tabel134[[#This Row],[Inv.
(15)3]:[Maj.kulu
(55) 3]])</f>
        <v>97600</v>
      </c>
      <c r="I78" s="60">
        <f>SUM(Tabel134[[#This Row],[Inv.
(15)4]:[Maj.kulu
(55) 4]])</f>
        <v>219600</v>
      </c>
      <c r="J78" s="69">
        <f>Tabel13[[#This Row],[Inv.
(15)]]*1.2</f>
        <v>0</v>
      </c>
      <c r="K78" s="69">
        <f>Tabel13[[#This Row],[Tööj.kulu
(50)]]</f>
        <v>0</v>
      </c>
      <c r="L78" s="61">
        <f>Tabel13[[#This Row],[Maj.kulu
(55) ]]*1.2</f>
        <v>120000</v>
      </c>
      <c r="M78" s="62">
        <f>Tabel13[[#This Row],[Inv.
(15)2]]*1.2</f>
        <v>0</v>
      </c>
      <c r="N78" s="69">
        <f>Tabel13[[#This Row],[Tööj.kulu
(50)2]]</f>
        <v>0</v>
      </c>
      <c r="O78" s="61">
        <f>Tabel13[[#This Row],[Maj.kulu
(55) 2]]*1.2</f>
        <v>120000</v>
      </c>
      <c r="P78" s="62">
        <f>Tabel13[[#This Row],[Inv.
(15)3]]*1.22</f>
        <v>97600</v>
      </c>
      <c r="Q78" s="69">
        <f>Tabel13[[#This Row],[Tööj.kulu
(50)3]]</f>
        <v>0</v>
      </c>
      <c r="R78" s="61">
        <f>Tabel13[[#This Row],[Maj.kulu
(55) 3]]*1.22</f>
        <v>0</v>
      </c>
      <c r="S78" s="62">
        <f>Tabel13[[#This Row],[Inv.
(15)4]]*1.22</f>
        <v>97600</v>
      </c>
      <c r="T78" s="69">
        <f>Tabel13[[#This Row],[Tööj.kulu
(50)4]]</f>
        <v>0</v>
      </c>
      <c r="U78" s="69">
        <f>Tabel13[[#This Row],[Maj.kulu
(55) 4]]*1.22</f>
        <v>122000</v>
      </c>
    </row>
    <row r="79" spans="1:21" x14ac:dyDescent="0.25">
      <c r="A79" s="65">
        <v>111</v>
      </c>
      <c r="B79" s="66" t="s">
        <v>37</v>
      </c>
      <c r="C79" s="67" t="s">
        <v>168</v>
      </c>
      <c r="D79" s="68" t="s">
        <v>156</v>
      </c>
      <c r="E79" s="58">
        <f>SUM(Tabel134[[#This Row],[2023]]+Tabel134[[#This Row],[2024 lisanduv]])</f>
        <v>39040</v>
      </c>
      <c r="F79" s="59">
        <f>SUM(Tabel134[[#This Row],[Inv.
(15)]:[Maj.kulu
(55) ]])</f>
        <v>0</v>
      </c>
      <c r="G79" s="59">
        <f>SUM(Tabel134[[#This Row],[Inv.
(15)2]:[Maj.kulu
(55) 2]])</f>
        <v>0</v>
      </c>
      <c r="H79" s="59">
        <f>SUM(Tabel134[[#This Row],[Inv.
(15)3]:[Maj.kulu
(55) 3]])</f>
        <v>39040</v>
      </c>
      <c r="I79" s="60">
        <f>SUM(Tabel134[[#This Row],[Inv.
(15)4]:[Maj.kulu
(55) 4]])</f>
        <v>39040</v>
      </c>
      <c r="J79" s="69">
        <f>Tabel13[[#This Row],[Inv.
(15)]]*1.2</f>
        <v>0</v>
      </c>
      <c r="K79" s="69">
        <f>Tabel13[[#This Row],[Tööj.kulu
(50)]]</f>
        <v>0</v>
      </c>
      <c r="L79" s="61">
        <f>Tabel13[[#This Row],[Maj.kulu
(55) ]]*1.2</f>
        <v>0</v>
      </c>
      <c r="M79" s="62">
        <f>Tabel13[[#This Row],[Inv.
(15)2]]*1.2</f>
        <v>0</v>
      </c>
      <c r="N79" s="69">
        <f>Tabel13[[#This Row],[Tööj.kulu
(50)2]]</f>
        <v>0</v>
      </c>
      <c r="O79" s="61">
        <f>Tabel13[[#This Row],[Maj.kulu
(55) 2]]*1.2</f>
        <v>0</v>
      </c>
      <c r="P79" s="62">
        <f>Tabel13[[#This Row],[Inv.
(15)3]]*1.22</f>
        <v>0</v>
      </c>
      <c r="Q79" s="69">
        <f>Tabel13[[#This Row],[Tööj.kulu
(50)3]]</f>
        <v>0</v>
      </c>
      <c r="R79" s="61">
        <f>Tabel13[[#This Row],[Maj.kulu
(55) 3]]*1.22</f>
        <v>39040</v>
      </c>
      <c r="S79" s="62">
        <f>Tabel13[[#This Row],[Inv.
(15)4]]*1.22</f>
        <v>0</v>
      </c>
      <c r="T79" s="69">
        <f>Tabel13[[#This Row],[Tööj.kulu
(50)4]]</f>
        <v>0</v>
      </c>
      <c r="U79" s="69">
        <f>Tabel13[[#This Row],[Maj.kulu
(55) 4]]*1.22</f>
        <v>39040</v>
      </c>
    </row>
    <row r="80" spans="1:21" ht="30" x14ac:dyDescent="0.25">
      <c r="A80" s="65">
        <v>112</v>
      </c>
      <c r="B80" s="66" t="s">
        <v>37</v>
      </c>
      <c r="C80" s="67" t="s">
        <v>168</v>
      </c>
      <c r="D80" s="68" t="s">
        <v>172</v>
      </c>
      <c r="E80" s="58">
        <f>SUM(Tabel134[[#This Row],[2023]]+Tabel134[[#This Row],[2024 lisanduv]])</f>
        <v>120000</v>
      </c>
      <c r="F80" s="59">
        <f>SUM(Tabel134[[#This Row],[Inv.
(15)]:[Maj.kulu
(55) ]])</f>
        <v>0</v>
      </c>
      <c r="G80" s="59">
        <f>SUM(Tabel134[[#This Row],[Inv.
(15)2]:[Maj.kulu
(55) 2]])</f>
        <v>0</v>
      </c>
      <c r="H80" s="59">
        <f>SUM(Tabel134[[#This Row],[Inv.
(15)3]:[Maj.kulu
(55) 3]])</f>
        <v>120000</v>
      </c>
      <c r="I80" s="60">
        <f>SUM(Tabel134[[#This Row],[Inv.
(15)4]:[Maj.kulu
(55) 4]])</f>
        <v>120000</v>
      </c>
      <c r="J80" s="69">
        <f>Tabel13[[#This Row],[Inv.
(15)]]*1.2</f>
        <v>0</v>
      </c>
      <c r="K80" s="69">
        <f>Tabel13[[#This Row],[Tööj.kulu
(50)]]</f>
        <v>0</v>
      </c>
      <c r="L80" s="61">
        <f>Tabel13[[#This Row],[Maj.kulu
(55) ]]*1.2</f>
        <v>0</v>
      </c>
      <c r="M80" s="62">
        <f>Tabel13[[#This Row],[Inv.
(15)2]]*1.2</f>
        <v>0</v>
      </c>
      <c r="N80" s="69">
        <f>Tabel13[[#This Row],[Tööj.kulu
(50)2]]</f>
        <v>0</v>
      </c>
      <c r="O80" s="61">
        <f>Tabel13[[#This Row],[Maj.kulu
(55) 2]]*1.2</f>
        <v>0</v>
      </c>
      <c r="P80" s="62">
        <f>Tabel13[[#This Row],[Inv.
(15)3]]*1.22</f>
        <v>0</v>
      </c>
      <c r="Q80" s="69">
        <f>Tabel13[[#This Row],[Tööj.kulu
(50)3]]</f>
        <v>120000</v>
      </c>
      <c r="R80" s="61">
        <f>Tabel13[[#This Row],[Maj.kulu
(55) 3]]*1.22</f>
        <v>0</v>
      </c>
      <c r="S80" s="62">
        <f>Tabel13[[#This Row],[Inv.
(15)4]]*1.22</f>
        <v>0</v>
      </c>
      <c r="T80" s="69">
        <f>Tabel13[[#This Row],[Tööj.kulu
(50)4]]</f>
        <v>120000</v>
      </c>
      <c r="U80" s="69">
        <f>Tabel13[[#This Row],[Maj.kulu
(55) 4]]*1.22</f>
        <v>0</v>
      </c>
    </row>
    <row r="81" spans="1:21" x14ac:dyDescent="0.25">
      <c r="A81" s="65">
        <v>113</v>
      </c>
      <c r="B81" s="66" t="s">
        <v>37</v>
      </c>
      <c r="C81" s="67" t="s">
        <v>168</v>
      </c>
      <c r="D81" s="68" t="s">
        <v>142</v>
      </c>
      <c r="E81" s="58">
        <f>SUM(Tabel134[[#This Row],[2023]]+Tabel134[[#This Row],[2024 lisanduv]])</f>
        <v>48800</v>
      </c>
      <c r="F81" s="59">
        <f>SUM(Tabel134[[#This Row],[Inv.
(15)]:[Maj.kulu
(55) ]])</f>
        <v>0</v>
      </c>
      <c r="G81" s="59">
        <f>SUM(Tabel134[[#This Row],[Inv.
(15)2]:[Maj.kulu
(55) 2]])</f>
        <v>0</v>
      </c>
      <c r="H81" s="59">
        <f>SUM(Tabel134[[#This Row],[Inv.
(15)3]:[Maj.kulu
(55) 3]])</f>
        <v>48800</v>
      </c>
      <c r="I81" s="60">
        <f>SUM(Tabel134[[#This Row],[Inv.
(15)4]:[Maj.kulu
(55) 4]])</f>
        <v>48800</v>
      </c>
      <c r="J81" s="69">
        <f>Tabel13[[#This Row],[Inv.
(15)]]*1.2</f>
        <v>0</v>
      </c>
      <c r="K81" s="69">
        <f>Tabel13[[#This Row],[Tööj.kulu
(50)]]</f>
        <v>0</v>
      </c>
      <c r="L81" s="61">
        <f>Tabel13[[#This Row],[Maj.kulu
(55) ]]*1.2</f>
        <v>0</v>
      </c>
      <c r="M81" s="62">
        <f>Tabel13[[#This Row],[Inv.
(15)2]]*1.2</f>
        <v>0</v>
      </c>
      <c r="N81" s="69">
        <f>Tabel13[[#This Row],[Tööj.kulu
(50)2]]</f>
        <v>0</v>
      </c>
      <c r="O81" s="61">
        <f>Tabel13[[#This Row],[Maj.kulu
(55) 2]]*1.2</f>
        <v>0</v>
      </c>
      <c r="P81" s="62">
        <f>Tabel13[[#This Row],[Inv.
(15)3]]*1.22</f>
        <v>0</v>
      </c>
      <c r="Q81" s="69">
        <f>Tabel13[[#This Row],[Tööj.kulu
(50)3]]</f>
        <v>0</v>
      </c>
      <c r="R81" s="61">
        <f>Tabel13[[#This Row],[Maj.kulu
(55) 3]]*1.22</f>
        <v>48800</v>
      </c>
      <c r="S81" s="62">
        <f>Tabel13[[#This Row],[Inv.
(15)4]]*1.22</f>
        <v>0</v>
      </c>
      <c r="T81" s="69">
        <f>Tabel13[[#This Row],[Tööj.kulu
(50)4]]</f>
        <v>0</v>
      </c>
      <c r="U81" s="69">
        <f>Tabel13[[#This Row],[Maj.kulu
(55) 4]]*1.22</f>
        <v>48800</v>
      </c>
    </row>
    <row r="82" spans="1:21" x14ac:dyDescent="0.25">
      <c r="A82" s="65">
        <v>114</v>
      </c>
      <c r="B82" s="66" t="s">
        <v>37</v>
      </c>
      <c r="C82" s="67" t="s">
        <v>20</v>
      </c>
      <c r="D82" s="68" t="s">
        <v>157</v>
      </c>
      <c r="E82" s="58">
        <f>SUM(Tabel134[[#This Row],[2023]]+Tabel134[[#This Row],[2024 lisanduv]])</f>
        <v>206145.6</v>
      </c>
      <c r="F82" s="59">
        <f>SUM(Tabel134[[#This Row],[Inv.
(15)]:[Maj.kulu
(55) ]])</f>
        <v>198927.6</v>
      </c>
      <c r="G82" s="59">
        <f>SUM(Tabel134[[#This Row],[Inv.
(15)2]:[Maj.kulu
(55) 2]])</f>
        <v>151974</v>
      </c>
      <c r="H82" s="59">
        <f>SUM(Tabel134[[#This Row],[Inv.
(15)3]:[Maj.kulu
(55) 3]])</f>
        <v>7218</v>
      </c>
      <c r="I82" s="60">
        <f>SUM(Tabel134[[#This Row],[Inv.
(15)4]:[Maj.kulu
(55) 4]])</f>
        <v>160855.20000000001</v>
      </c>
      <c r="J82" s="69">
        <f>Tabel13[[#This Row],[Inv.
(15)]]*1.2</f>
        <v>0</v>
      </c>
      <c r="K82" s="69">
        <f>Tabel13[[#This Row],[Tööj.kulu
(50)]]</f>
        <v>52182</v>
      </c>
      <c r="L82" s="61">
        <f>Tabel13[[#This Row],[Maj.kulu
(55) ]]*1.2</f>
        <v>146745.60000000001</v>
      </c>
      <c r="M82" s="62">
        <f>Tabel13[[#This Row],[Inv.
(15)2]]*1.2</f>
        <v>0</v>
      </c>
      <c r="N82" s="69">
        <f>Tabel13[[#This Row],[Tööj.kulu
(50)2]]</f>
        <v>52182</v>
      </c>
      <c r="O82" s="61">
        <f>Tabel13[[#This Row],[Maj.kulu
(55) 2]]*1.2</f>
        <v>99792</v>
      </c>
      <c r="P82" s="62">
        <f>Tabel13[[#This Row],[Inv.
(15)3]]*1.22</f>
        <v>0</v>
      </c>
      <c r="Q82" s="69">
        <f>Tabel13[[#This Row],[Tööj.kulu
(50)3]]</f>
        <v>7218</v>
      </c>
      <c r="R82" s="61">
        <f>Tabel13[[#This Row],[Maj.kulu
(55) 3]]*1.22</f>
        <v>0</v>
      </c>
      <c r="S82" s="62">
        <f>Tabel13[[#This Row],[Inv.
(15)4]]*1.22</f>
        <v>0</v>
      </c>
      <c r="T82" s="69">
        <f>Tabel13[[#This Row],[Tööj.kulu
(50)4]]</f>
        <v>59400</v>
      </c>
      <c r="U82" s="69">
        <f>Tabel13[[#This Row],[Maj.kulu
(55) 4]]*1.22</f>
        <v>101455.2</v>
      </c>
    </row>
    <row r="83" spans="1:21" x14ac:dyDescent="0.25">
      <c r="A83" s="65">
        <v>115</v>
      </c>
      <c r="B83" s="66" t="s">
        <v>37</v>
      </c>
      <c r="C83" s="67" t="s">
        <v>169</v>
      </c>
      <c r="D83" s="68" t="s">
        <v>158</v>
      </c>
      <c r="E83" s="58">
        <f>SUM(Tabel134[[#This Row],[2023]]+Tabel134[[#This Row],[2024 lisanduv]])</f>
        <v>96320</v>
      </c>
      <c r="F83" s="59">
        <f>SUM(Tabel134[[#This Row],[Inv.
(15)]:[Maj.kulu
(55) ]])</f>
        <v>47520</v>
      </c>
      <c r="G83" s="59">
        <f>SUM(Tabel134[[#This Row],[Inv.
(15)2]:[Maj.kulu
(55) 2]])</f>
        <v>0</v>
      </c>
      <c r="H83" s="59">
        <f>SUM(Tabel134[[#This Row],[Inv.
(15)3]:[Maj.kulu
(55) 3]])</f>
        <v>48800</v>
      </c>
      <c r="I83" s="60">
        <f>SUM(Tabel134[[#This Row],[Inv.
(15)4]:[Maj.kulu
(55) 4]])</f>
        <v>48800</v>
      </c>
      <c r="J83" s="69">
        <f>Tabel13[[#This Row],[Inv.
(15)]]*1.2</f>
        <v>0</v>
      </c>
      <c r="K83" s="69">
        <f>Tabel13[[#This Row],[Tööj.kulu
(50)]]</f>
        <v>0</v>
      </c>
      <c r="L83" s="61">
        <f>Tabel13[[#This Row],[Maj.kulu
(55) ]]*1.2</f>
        <v>47520</v>
      </c>
      <c r="M83" s="62">
        <f>Tabel13[[#This Row],[Inv.
(15)2]]*1.2</f>
        <v>0</v>
      </c>
      <c r="N83" s="69">
        <f>Tabel13[[#This Row],[Tööj.kulu
(50)2]]</f>
        <v>0</v>
      </c>
      <c r="O83" s="61">
        <f>Tabel13[[#This Row],[Maj.kulu
(55) 2]]*1.2</f>
        <v>0</v>
      </c>
      <c r="P83" s="62">
        <f>Tabel13[[#This Row],[Inv.
(15)3]]*1.22</f>
        <v>0</v>
      </c>
      <c r="Q83" s="69">
        <f>Tabel13[[#This Row],[Tööj.kulu
(50)3]]</f>
        <v>0</v>
      </c>
      <c r="R83" s="61">
        <f>Tabel13[[#This Row],[Maj.kulu
(55) 3]]*1.22</f>
        <v>48800</v>
      </c>
      <c r="S83" s="62">
        <f>Tabel13[[#This Row],[Inv.
(15)4]]*1.22</f>
        <v>0</v>
      </c>
      <c r="T83" s="69">
        <f>Tabel13[[#This Row],[Tööj.kulu
(50)4]]</f>
        <v>0</v>
      </c>
      <c r="U83" s="69">
        <f>Tabel13[[#This Row],[Maj.kulu
(55) 4]]*1.22</f>
        <v>48800</v>
      </c>
    </row>
    <row r="84" spans="1:21" x14ac:dyDescent="0.25">
      <c r="A84" s="65">
        <v>116</v>
      </c>
      <c r="B84" s="66" t="s">
        <v>37</v>
      </c>
      <c r="C84" s="67" t="s">
        <v>169</v>
      </c>
      <c r="D84" s="68" t="s">
        <v>159</v>
      </c>
      <c r="E84" s="58">
        <f>SUM(Tabel134[[#This Row],[2023]]+Tabel134[[#This Row],[2024 lisanduv]])</f>
        <v>121000</v>
      </c>
      <c r="F84" s="59">
        <f>SUM(Tabel134[[#This Row],[Inv.
(15)]:[Maj.kulu
(55) ]])</f>
        <v>60000</v>
      </c>
      <c r="G84" s="59">
        <f>SUM(Tabel134[[#This Row],[Inv.
(15)2]:[Maj.kulu
(55) 2]])</f>
        <v>60000</v>
      </c>
      <c r="H84" s="59">
        <f>SUM(Tabel134[[#This Row],[Inv.
(15)3]:[Maj.kulu
(55) 3]])</f>
        <v>61000</v>
      </c>
      <c r="I84" s="60">
        <f>SUM(Tabel134[[#This Row],[Inv.
(15)4]:[Maj.kulu
(55) 4]])</f>
        <v>122000</v>
      </c>
      <c r="J84" s="69">
        <f>Tabel13[[#This Row],[Inv.
(15)]]*1.2</f>
        <v>0</v>
      </c>
      <c r="K84" s="69">
        <f>Tabel13[[#This Row],[Tööj.kulu
(50)]]</f>
        <v>0</v>
      </c>
      <c r="L84" s="61">
        <f>Tabel13[[#This Row],[Maj.kulu
(55) ]]*1.2</f>
        <v>60000</v>
      </c>
      <c r="M84" s="62">
        <f>Tabel13[[#This Row],[Inv.
(15)2]]*1.2</f>
        <v>0</v>
      </c>
      <c r="N84" s="69">
        <f>Tabel13[[#This Row],[Tööj.kulu
(50)2]]</f>
        <v>0</v>
      </c>
      <c r="O84" s="61">
        <f>Tabel13[[#This Row],[Maj.kulu
(55) 2]]*1.2</f>
        <v>60000</v>
      </c>
      <c r="P84" s="62">
        <f>Tabel13[[#This Row],[Inv.
(15)3]]*1.22</f>
        <v>0</v>
      </c>
      <c r="Q84" s="69">
        <f>Tabel13[[#This Row],[Tööj.kulu
(50)3]]</f>
        <v>0</v>
      </c>
      <c r="R84" s="61">
        <f>Tabel13[[#This Row],[Maj.kulu
(55) 3]]*1.22</f>
        <v>61000</v>
      </c>
      <c r="S84" s="62">
        <f>Tabel13[[#This Row],[Inv.
(15)4]]*1.22</f>
        <v>0</v>
      </c>
      <c r="T84" s="69">
        <f>Tabel13[[#This Row],[Tööj.kulu
(50)4]]</f>
        <v>0</v>
      </c>
      <c r="U84" s="69">
        <f>Tabel13[[#This Row],[Maj.kulu
(55) 4]]*1.22</f>
        <v>122000</v>
      </c>
    </row>
    <row r="85" spans="1:21" x14ac:dyDescent="0.25">
      <c r="A85" s="65">
        <v>117</v>
      </c>
      <c r="B85" s="66" t="s">
        <v>37</v>
      </c>
      <c r="C85" s="67" t="s">
        <v>169</v>
      </c>
      <c r="D85" s="68" t="s">
        <v>160</v>
      </c>
      <c r="E85" s="58">
        <f>SUM(Tabel134[[#This Row],[2023]]+Tabel134[[#This Row],[2024 lisanduv]])</f>
        <v>60000</v>
      </c>
      <c r="F85" s="59">
        <f>SUM(Tabel134[[#This Row],[Inv.
(15)]:[Maj.kulu
(55) ]])</f>
        <v>60000</v>
      </c>
      <c r="G85" s="59">
        <f>SUM(Tabel134[[#This Row],[Inv.
(15)2]:[Maj.kulu
(55) 2]])</f>
        <v>60000</v>
      </c>
      <c r="H85" s="59">
        <f>SUM(Tabel134[[#This Row],[Inv.
(15)3]:[Maj.kulu
(55) 3]])</f>
        <v>0</v>
      </c>
      <c r="I85" s="60">
        <f>SUM(Tabel134[[#This Row],[Inv.
(15)4]:[Maj.kulu
(55) 4]])</f>
        <v>61000</v>
      </c>
      <c r="J85" s="69">
        <f>Tabel13[[#This Row],[Inv.
(15)]]*1.2</f>
        <v>0</v>
      </c>
      <c r="K85" s="69">
        <f>Tabel13[[#This Row],[Tööj.kulu
(50)]]</f>
        <v>0</v>
      </c>
      <c r="L85" s="61">
        <f>Tabel13[[#This Row],[Maj.kulu
(55) ]]*1.2</f>
        <v>60000</v>
      </c>
      <c r="M85" s="62">
        <f>Tabel13[[#This Row],[Inv.
(15)2]]*1.2</f>
        <v>0</v>
      </c>
      <c r="N85" s="69">
        <f>Tabel13[[#This Row],[Tööj.kulu
(50)2]]</f>
        <v>0</v>
      </c>
      <c r="O85" s="61">
        <f>Tabel13[[#This Row],[Maj.kulu
(55) 2]]*1.2</f>
        <v>60000</v>
      </c>
      <c r="P85" s="62">
        <f>Tabel13[[#This Row],[Inv.
(15)3]]*1.22</f>
        <v>0</v>
      </c>
      <c r="Q85" s="69">
        <f>Tabel13[[#This Row],[Tööj.kulu
(50)3]]</f>
        <v>0</v>
      </c>
      <c r="R85" s="61">
        <f>Tabel13[[#This Row],[Maj.kulu
(55) 3]]*1.22</f>
        <v>0</v>
      </c>
      <c r="S85" s="62">
        <f>Tabel13[[#This Row],[Inv.
(15)4]]*1.22</f>
        <v>0</v>
      </c>
      <c r="T85" s="69">
        <f>Tabel13[[#This Row],[Tööj.kulu
(50)4]]</f>
        <v>0</v>
      </c>
      <c r="U85" s="69">
        <f>Tabel13[[#This Row],[Maj.kulu
(55) 4]]*1.22</f>
        <v>61000</v>
      </c>
    </row>
    <row r="86" spans="1:21" ht="30" x14ac:dyDescent="0.25">
      <c r="A86" s="65">
        <v>118</v>
      </c>
      <c r="B86" s="66" t="s">
        <v>37</v>
      </c>
      <c r="C86" s="67" t="s">
        <v>169</v>
      </c>
      <c r="D86" s="68" t="s">
        <v>161</v>
      </c>
      <c r="E86" s="58">
        <f>SUM(Tabel134[[#This Row],[2023]]+Tabel134[[#This Row],[2024 lisanduv]])</f>
        <v>36297.599999999999</v>
      </c>
      <c r="F86" s="59">
        <f>SUM(Tabel134[[#This Row],[Inv.
(15)]:[Maj.kulu
(55) ]])</f>
        <v>17997.599999999999</v>
      </c>
      <c r="G86" s="59">
        <f>SUM(Tabel134[[#This Row],[Inv.
(15)2]:[Maj.kulu
(55) 2]])</f>
        <v>0</v>
      </c>
      <c r="H86" s="59">
        <f>SUM(Tabel134[[#This Row],[Inv.
(15)3]:[Maj.kulu
(55) 3]])</f>
        <v>18300</v>
      </c>
      <c r="I86" s="60">
        <f>SUM(Tabel134[[#This Row],[Inv.
(15)4]:[Maj.kulu
(55) 4]])</f>
        <v>18300</v>
      </c>
      <c r="J86" s="69">
        <f>Tabel13[[#This Row],[Inv.
(15)]]*1.2</f>
        <v>0</v>
      </c>
      <c r="K86" s="69">
        <f>Tabel13[[#This Row],[Tööj.kulu
(50)]]</f>
        <v>0</v>
      </c>
      <c r="L86" s="61">
        <f>Tabel13[[#This Row],[Maj.kulu
(55) ]]*1.2</f>
        <v>17997.599999999999</v>
      </c>
      <c r="M86" s="62">
        <f>Tabel13[[#This Row],[Inv.
(15)2]]*1.2</f>
        <v>0</v>
      </c>
      <c r="N86" s="69">
        <f>Tabel13[[#This Row],[Tööj.kulu
(50)2]]</f>
        <v>0</v>
      </c>
      <c r="O86" s="61">
        <f>Tabel13[[#This Row],[Maj.kulu
(55) 2]]*1.2</f>
        <v>0</v>
      </c>
      <c r="P86" s="62">
        <f>Tabel13[[#This Row],[Inv.
(15)3]]*1.22</f>
        <v>0</v>
      </c>
      <c r="Q86" s="69">
        <f>Tabel13[[#This Row],[Tööj.kulu
(50)3]]</f>
        <v>0</v>
      </c>
      <c r="R86" s="61">
        <f>Tabel13[[#This Row],[Maj.kulu
(55) 3]]*1.22</f>
        <v>18300</v>
      </c>
      <c r="S86" s="62">
        <f>Tabel13[[#This Row],[Inv.
(15)4]]*1.22</f>
        <v>0</v>
      </c>
      <c r="T86" s="69">
        <f>Tabel13[[#This Row],[Tööj.kulu
(50)4]]</f>
        <v>0</v>
      </c>
      <c r="U86" s="69">
        <f>Tabel13[[#This Row],[Maj.kulu
(55) 4]]*1.22</f>
        <v>18300</v>
      </c>
    </row>
    <row r="87" spans="1:21" x14ac:dyDescent="0.25">
      <c r="A87" s="65">
        <v>119</v>
      </c>
      <c r="B87" s="66" t="s">
        <v>37</v>
      </c>
      <c r="C87" s="67" t="s">
        <v>169</v>
      </c>
      <c r="D87" s="68" t="s">
        <v>162</v>
      </c>
      <c r="E87" s="58">
        <f>SUM(Tabel134[[#This Row],[2023]]+Tabel134[[#This Row],[2024 lisanduv]])</f>
        <v>36597.56</v>
      </c>
      <c r="F87" s="59">
        <f>SUM(Tabel134[[#This Row],[Inv.
(15)]:[Maj.kulu
(55) ]])</f>
        <v>0</v>
      </c>
      <c r="G87" s="59">
        <f>SUM(Tabel134[[#This Row],[Inv.
(15)2]:[Maj.kulu
(55) 2]])</f>
        <v>0</v>
      </c>
      <c r="H87" s="59">
        <f>SUM(Tabel134[[#This Row],[Inv.
(15)3]:[Maj.kulu
(55) 3]])</f>
        <v>36597.56</v>
      </c>
      <c r="I87" s="60">
        <f>SUM(Tabel134[[#This Row],[Inv.
(15)4]:[Maj.kulu
(55) 4]])</f>
        <v>36597.56</v>
      </c>
      <c r="J87" s="69">
        <f>Tabel13[[#This Row],[Inv.
(15)]]*1.2</f>
        <v>0</v>
      </c>
      <c r="K87" s="69">
        <f>Tabel13[[#This Row],[Tööj.kulu
(50)]]</f>
        <v>0</v>
      </c>
      <c r="L87" s="61">
        <f>Tabel13[[#This Row],[Maj.kulu
(55) ]]*1.2</f>
        <v>0</v>
      </c>
      <c r="M87" s="62">
        <f>Tabel13[[#This Row],[Inv.
(15)2]]*1.2</f>
        <v>0</v>
      </c>
      <c r="N87" s="69">
        <f>Tabel13[[#This Row],[Tööj.kulu
(50)2]]</f>
        <v>0</v>
      </c>
      <c r="O87" s="61">
        <f>Tabel13[[#This Row],[Maj.kulu
(55) 2]]*1.2</f>
        <v>0</v>
      </c>
      <c r="P87" s="62">
        <f>Tabel13[[#This Row],[Inv.
(15)3]]*1.22</f>
        <v>0</v>
      </c>
      <c r="Q87" s="69">
        <f>Tabel13[[#This Row],[Tööj.kulu
(50)3]]</f>
        <v>0</v>
      </c>
      <c r="R87" s="61">
        <f>Tabel13[[#This Row],[Maj.kulu
(55) 3]]*1.22</f>
        <v>36597.56</v>
      </c>
      <c r="S87" s="62">
        <f>Tabel13[[#This Row],[Inv.
(15)4]]*1.22</f>
        <v>0</v>
      </c>
      <c r="T87" s="69">
        <f>Tabel13[[#This Row],[Tööj.kulu
(50)4]]</f>
        <v>0</v>
      </c>
      <c r="U87" s="69">
        <f>Tabel13[[#This Row],[Maj.kulu
(55) 4]]*1.22</f>
        <v>36597.56</v>
      </c>
    </row>
    <row r="88" spans="1:21" x14ac:dyDescent="0.25">
      <c r="A88" s="65">
        <v>120</v>
      </c>
      <c r="B88" s="66" t="s">
        <v>37</v>
      </c>
      <c r="C88" s="67" t="s">
        <v>170</v>
      </c>
      <c r="D88" s="68" t="s">
        <v>18</v>
      </c>
      <c r="E88" s="58">
        <f>SUM(Tabel134[[#This Row],[2023]]+Tabel134[[#This Row],[2024 lisanduv]])</f>
        <v>90000</v>
      </c>
      <c r="F88" s="59">
        <f>SUM(Tabel134[[#This Row],[Inv.
(15)]:[Maj.kulu
(55) ]])</f>
        <v>90000</v>
      </c>
      <c r="G88" s="59">
        <f>SUM(Tabel134[[#This Row],[Inv.
(15)2]:[Maj.kulu
(55) 2]])</f>
        <v>90000</v>
      </c>
      <c r="H88" s="59">
        <f>SUM(Tabel134[[#This Row],[Inv.
(15)3]:[Maj.kulu
(55) 3]])</f>
        <v>0</v>
      </c>
      <c r="I88" s="60">
        <f>SUM(Tabel134[[#This Row],[Inv.
(15)4]:[Maj.kulu
(55) 4]])</f>
        <v>91500</v>
      </c>
      <c r="J88" s="69">
        <f>Tabel13[[#This Row],[Inv.
(15)]]*1.2</f>
        <v>90000</v>
      </c>
      <c r="K88" s="69">
        <f>Tabel13[[#This Row],[Tööj.kulu
(50)]]</f>
        <v>0</v>
      </c>
      <c r="L88" s="61">
        <f>Tabel13[[#This Row],[Maj.kulu
(55) ]]*1.2</f>
        <v>0</v>
      </c>
      <c r="M88" s="62">
        <f>Tabel13[[#This Row],[Inv.
(15)2]]*1.2</f>
        <v>90000</v>
      </c>
      <c r="N88" s="69">
        <f>Tabel13[[#This Row],[Tööj.kulu
(50)2]]</f>
        <v>0</v>
      </c>
      <c r="O88" s="61">
        <f>Tabel13[[#This Row],[Maj.kulu
(55) 2]]*1.2</f>
        <v>0</v>
      </c>
      <c r="P88" s="62">
        <f>Tabel13[[#This Row],[Inv.
(15)3]]*1.22</f>
        <v>0</v>
      </c>
      <c r="Q88" s="69">
        <f>Tabel13[[#This Row],[Tööj.kulu
(50)3]]</f>
        <v>0</v>
      </c>
      <c r="R88" s="61">
        <f>Tabel13[[#This Row],[Maj.kulu
(55) 3]]*1.22</f>
        <v>0</v>
      </c>
      <c r="S88" s="62">
        <f>Tabel13[[#This Row],[Inv.
(15)4]]*1.22</f>
        <v>91500</v>
      </c>
      <c r="T88" s="69">
        <f>Tabel13[[#This Row],[Tööj.kulu
(50)4]]</f>
        <v>0</v>
      </c>
      <c r="U88" s="69">
        <f>Tabel13[[#This Row],[Maj.kulu
(55) 4]]*1.22</f>
        <v>0</v>
      </c>
    </row>
    <row r="89" spans="1:21" ht="30" x14ac:dyDescent="0.25">
      <c r="A89" s="65">
        <v>121</v>
      </c>
      <c r="B89" s="66" t="s">
        <v>37</v>
      </c>
      <c r="C89" s="67" t="s">
        <v>171</v>
      </c>
      <c r="D89" s="68" t="s">
        <v>163</v>
      </c>
      <c r="E89" s="58">
        <f>SUM(Tabel134[[#This Row],[2023]]+Tabel134[[#This Row],[2024 lisanduv]])</f>
        <v>36600</v>
      </c>
      <c r="F89" s="59">
        <f>SUM(Tabel134[[#This Row],[Inv.
(15)]:[Maj.kulu
(55) ]])</f>
        <v>0</v>
      </c>
      <c r="G89" s="59">
        <f>SUM(Tabel134[[#This Row],[Inv.
(15)2]:[Maj.kulu
(55) 2]])</f>
        <v>0</v>
      </c>
      <c r="H89" s="59">
        <f>SUM(Tabel134[[#This Row],[Inv.
(15)3]:[Maj.kulu
(55) 3]])</f>
        <v>36600</v>
      </c>
      <c r="I89" s="60">
        <f>SUM(Tabel134[[#This Row],[Inv.
(15)4]:[Maj.kulu
(55) 4]])</f>
        <v>36600</v>
      </c>
      <c r="J89" s="69">
        <f>Tabel13[[#This Row],[Inv.
(15)]]*1.2</f>
        <v>0</v>
      </c>
      <c r="K89" s="69">
        <f>Tabel13[[#This Row],[Tööj.kulu
(50)]]</f>
        <v>0</v>
      </c>
      <c r="L89" s="61">
        <f>Tabel13[[#This Row],[Maj.kulu
(55) ]]*1.2</f>
        <v>0</v>
      </c>
      <c r="M89" s="62">
        <f>Tabel13[[#This Row],[Inv.
(15)2]]*1.2</f>
        <v>0</v>
      </c>
      <c r="N89" s="69">
        <f>Tabel13[[#This Row],[Tööj.kulu
(50)2]]</f>
        <v>0</v>
      </c>
      <c r="O89" s="61">
        <f>Tabel13[[#This Row],[Maj.kulu
(55) 2]]*1.2</f>
        <v>0</v>
      </c>
      <c r="P89" s="62">
        <f>Tabel13[[#This Row],[Inv.
(15)3]]*1.22</f>
        <v>36600</v>
      </c>
      <c r="Q89" s="69">
        <f>Tabel13[[#This Row],[Tööj.kulu
(50)3]]</f>
        <v>0</v>
      </c>
      <c r="R89" s="61">
        <f>Tabel13[[#This Row],[Maj.kulu
(55) 3]]*1.22</f>
        <v>0</v>
      </c>
      <c r="S89" s="62">
        <f>Tabel13[[#This Row],[Inv.
(15)4]]*1.22</f>
        <v>36600</v>
      </c>
      <c r="T89" s="69">
        <f>Tabel13[[#This Row],[Tööj.kulu
(50)4]]</f>
        <v>0</v>
      </c>
      <c r="U89" s="69">
        <f>Tabel13[[#This Row],[Maj.kulu
(55) 4]]*1.22</f>
        <v>0</v>
      </c>
    </row>
    <row r="90" spans="1:21" x14ac:dyDescent="0.25">
      <c r="A90" s="65">
        <v>122</v>
      </c>
      <c r="B90" s="66" t="s">
        <v>37</v>
      </c>
      <c r="C90" s="67" t="s">
        <v>171</v>
      </c>
      <c r="D90" s="68" t="s">
        <v>164</v>
      </c>
      <c r="E90" s="58">
        <f>SUM(Tabel134[[#This Row],[2023]]+Tabel134[[#This Row],[2024 lisanduv]])</f>
        <v>36600</v>
      </c>
      <c r="F90" s="59">
        <f>SUM(Tabel134[[#This Row],[Inv.
(15)]:[Maj.kulu
(55) ]])</f>
        <v>0</v>
      </c>
      <c r="G90" s="59">
        <f>SUM(Tabel134[[#This Row],[Inv.
(15)2]:[Maj.kulu
(55) 2]])</f>
        <v>0</v>
      </c>
      <c r="H90" s="59">
        <f>SUM(Tabel134[[#This Row],[Inv.
(15)3]:[Maj.kulu
(55) 3]])</f>
        <v>36600</v>
      </c>
      <c r="I90" s="60">
        <f>SUM(Tabel134[[#This Row],[Inv.
(15)4]:[Maj.kulu
(55) 4]])</f>
        <v>36600</v>
      </c>
      <c r="J90" s="69">
        <f>Tabel13[[#This Row],[Inv.
(15)]]*1.2</f>
        <v>0</v>
      </c>
      <c r="K90" s="69">
        <f>Tabel13[[#This Row],[Tööj.kulu
(50)]]</f>
        <v>0</v>
      </c>
      <c r="L90" s="61">
        <f>Tabel13[[#This Row],[Maj.kulu
(55) ]]*1.2</f>
        <v>0</v>
      </c>
      <c r="M90" s="62">
        <f>Tabel13[[#This Row],[Inv.
(15)2]]*1.2</f>
        <v>0</v>
      </c>
      <c r="N90" s="69">
        <f>Tabel13[[#This Row],[Tööj.kulu
(50)2]]</f>
        <v>0</v>
      </c>
      <c r="O90" s="61">
        <f>Tabel13[[#This Row],[Maj.kulu
(55) 2]]*1.2</f>
        <v>0</v>
      </c>
      <c r="P90" s="62">
        <f>Tabel13[[#This Row],[Inv.
(15)3]]*1.22</f>
        <v>0</v>
      </c>
      <c r="Q90" s="69">
        <f>Tabel13[[#This Row],[Tööj.kulu
(50)3]]</f>
        <v>0</v>
      </c>
      <c r="R90" s="61">
        <f>Tabel13[[#This Row],[Maj.kulu
(55) 3]]*1.22</f>
        <v>36600</v>
      </c>
      <c r="S90" s="62">
        <f>Tabel13[[#This Row],[Inv.
(15)4]]*1.22</f>
        <v>0</v>
      </c>
      <c r="T90" s="69">
        <f>Tabel13[[#This Row],[Tööj.kulu
(50)4]]</f>
        <v>0</v>
      </c>
      <c r="U90" s="69">
        <f>Tabel13[[#This Row],[Maj.kulu
(55) 4]]*1.22</f>
        <v>36600</v>
      </c>
    </row>
    <row r="91" spans="1:21" ht="30" x14ac:dyDescent="0.25">
      <c r="A91" s="65">
        <v>123</v>
      </c>
      <c r="B91" s="66" t="s">
        <v>37</v>
      </c>
      <c r="C91" s="67" t="s">
        <v>171</v>
      </c>
      <c r="D91" s="68" t="s">
        <v>165</v>
      </c>
      <c r="E91" s="58">
        <f>SUM(Tabel134[[#This Row],[2023]]+Tabel134[[#This Row],[2024 lisanduv]])</f>
        <v>119200</v>
      </c>
      <c r="F91" s="59">
        <f>SUM(Tabel134[[#This Row],[Inv.
(15)]:[Maj.kulu
(55) ]])</f>
        <v>0</v>
      </c>
      <c r="G91" s="59">
        <f>SUM(Tabel134[[#This Row],[Inv.
(15)2]:[Maj.kulu
(55) 2]])</f>
        <v>0</v>
      </c>
      <c r="H91" s="59">
        <f>SUM(Tabel134[[#This Row],[Inv.
(15)3]:[Maj.kulu
(55) 3]])</f>
        <v>119200</v>
      </c>
      <c r="I91" s="60">
        <f>SUM(Tabel134[[#This Row],[Inv.
(15)4]:[Maj.kulu
(55) 4]])</f>
        <v>119200</v>
      </c>
      <c r="J91" s="69">
        <f>Tabel13[[#This Row],[Inv.
(15)]]*1.2</f>
        <v>0</v>
      </c>
      <c r="K91" s="69">
        <f>Tabel13[[#This Row],[Tööj.kulu
(50)]]</f>
        <v>0</v>
      </c>
      <c r="L91" s="61">
        <f>Tabel13[[#This Row],[Maj.kulu
(55) ]]*1.2</f>
        <v>0</v>
      </c>
      <c r="M91" s="62">
        <f>Tabel13[[#This Row],[Inv.
(15)2]]*1.2</f>
        <v>0</v>
      </c>
      <c r="N91" s="69">
        <f>Tabel13[[#This Row],[Tööj.kulu
(50)2]]</f>
        <v>0</v>
      </c>
      <c r="O91" s="61">
        <f>Tabel13[[#This Row],[Maj.kulu
(55) 2]]*1.2</f>
        <v>0</v>
      </c>
      <c r="P91" s="62">
        <f>Tabel13[[#This Row],[Inv.
(15)3]]*1.22</f>
        <v>0</v>
      </c>
      <c r="Q91" s="69">
        <f>Tabel13[[#This Row],[Tööj.kulu
(50)3]]</f>
        <v>119200</v>
      </c>
      <c r="R91" s="61">
        <f>Tabel13[[#This Row],[Maj.kulu
(55) 3]]*1.22</f>
        <v>0</v>
      </c>
      <c r="S91" s="62">
        <f>Tabel13[[#This Row],[Inv.
(15)4]]*1.22</f>
        <v>0</v>
      </c>
      <c r="T91" s="69">
        <f>Tabel13[[#This Row],[Tööj.kulu
(50)4]]</f>
        <v>119200</v>
      </c>
      <c r="U91" s="69">
        <f>Tabel13[[#This Row],[Maj.kulu
(55) 4]]*1.22</f>
        <v>0</v>
      </c>
    </row>
    <row r="92" spans="1:21" ht="75" x14ac:dyDescent="0.25">
      <c r="A92" s="65">
        <v>124</v>
      </c>
      <c r="B92" s="66" t="s">
        <v>37</v>
      </c>
      <c r="C92" s="67" t="s">
        <v>174</v>
      </c>
      <c r="D92" s="68" t="s">
        <v>173</v>
      </c>
      <c r="E92" s="58">
        <f>SUM(Tabel134[[#This Row],[2023]]+Tabel134[[#This Row],[2024 lisanduv]])</f>
        <v>61000</v>
      </c>
      <c r="F92" s="59">
        <f>SUM(Tabel134[[#This Row],[Inv.
(15)]:[Maj.kulu
(55) ]])</f>
        <v>0</v>
      </c>
      <c r="G92" s="59">
        <f>SUM(Tabel134[[#This Row],[Inv.
(15)2]:[Maj.kulu
(55) 2]])</f>
        <v>0</v>
      </c>
      <c r="H92" s="59">
        <f>SUM(Tabel134[[#This Row],[Inv.
(15)3]:[Maj.kulu
(55) 3]])</f>
        <v>61000</v>
      </c>
      <c r="I92" s="60">
        <f>SUM(Tabel134[[#This Row],[Inv.
(15)4]:[Maj.kulu
(55) 4]])</f>
        <v>61000</v>
      </c>
      <c r="J92" s="69">
        <f>Tabel13[[#This Row],[Inv.
(15)]]*1.2</f>
        <v>0</v>
      </c>
      <c r="K92" s="69">
        <f>Tabel13[[#This Row],[Tööj.kulu
(50)]]</f>
        <v>0</v>
      </c>
      <c r="L92" s="61">
        <f>Tabel13[[#This Row],[Maj.kulu
(55) ]]*1.2</f>
        <v>0</v>
      </c>
      <c r="M92" s="62">
        <f>Tabel13[[#This Row],[Inv.
(15)2]]*1.2</f>
        <v>0</v>
      </c>
      <c r="N92" s="69">
        <f>Tabel13[[#This Row],[Tööj.kulu
(50)2]]</f>
        <v>0</v>
      </c>
      <c r="O92" s="61">
        <f>Tabel13[[#This Row],[Maj.kulu
(55) 2]]*1.2</f>
        <v>0</v>
      </c>
      <c r="P92" s="62">
        <f>Tabel13[[#This Row],[Inv.
(15)3]]*1.22</f>
        <v>0</v>
      </c>
      <c r="Q92" s="69">
        <f>Tabel13[[#This Row],[Tööj.kulu
(50)3]]</f>
        <v>0</v>
      </c>
      <c r="R92" s="61">
        <f>Tabel13[[#This Row],[Maj.kulu
(55) 3]]*1.22</f>
        <v>61000</v>
      </c>
      <c r="S92" s="62">
        <f>Tabel13[[#This Row],[Inv.
(15)4]]*1.22</f>
        <v>0</v>
      </c>
      <c r="T92" s="69">
        <f>Tabel13[[#This Row],[Tööj.kulu
(50)4]]</f>
        <v>0</v>
      </c>
      <c r="U92" s="69">
        <f>Tabel13[[#This Row],[Maj.kulu
(55) 4]]*1.22</f>
        <v>61000</v>
      </c>
    </row>
    <row r="93" spans="1:21" x14ac:dyDescent="0.25">
      <c r="A93" s="9"/>
      <c r="B93" s="9"/>
      <c r="C93" s="63"/>
      <c r="D93" s="64" t="s">
        <v>48</v>
      </c>
      <c r="E93" s="46">
        <f>SUM(Tabel134[Summa kokku 
2023-2024])</f>
        <v>18444543.700000003</v>
      </c>
      <c r="F93" s="41">
        <f>SUM(Tabel134[2023])</f>
        <v>7396122.9999999991</v>
      </c>
      <c r="G93" s="41">
        <f>SUM(Tabel134[2024 
(2023 jätk)])</f>
        <v>6233534.4000000013</v>
      </c>
      <c r="H93" s="41">
        <f>SUM(Tabel134[2024 lisanduv])</f>
        <v>11048420.699999999</v>
      </c>
      <c r="I93" s="41">
        <f>SUM(Tabel134[2024])</f>
        <v>17371871.939999998</v>
      </c>
      <c r="J93" s="41">
        <f>SUM(Tabel134[Inv.
(15)])</f>
        <v>3846280.8000000003</v>
      </c>
      <c r="K93" s="41">
        <f>SUM(Tabel134[Tööj.kulu
(50)])</f>
        <v>1004929</v>
      </c>
      <c r="L93" s="41">
        <f>SUM(Tabel134[Maj.kulu
(55) ])</f>
        <v>2544913.2000000002</v>
      </c>
      <c r="M93" s="41">
        <f>SUM(Tabel134[Inv.
(15)2])</f>
        <v>3400904.4</v>
      </c>
      <c r="N93" s="41">
        <f>SUM(Tabel134[Tööj.kulu
(50)2])</f>
        <v>838524</v>
      </c>
      <c r="O93" s="41">
        <f>SUM(Tabel134[Maj.kulu
(55) 2])</f>
        <v>1994106</v>
      </c>
      <c r="P93" s="41">
        <f>SUM(Tabel134[Inv.
(15)3])</f>
        <v>7846547.1200000001</v>
      </c>
      <c r="Q93" s="41">
        <f>SUM(Tabel134[Tööj.kulu
(50)3])</f>
        <v>1150701</v>
      </c>
      <c r="R93" s="41">
        <f>SUM(Tabel134[Maj.kulu
(55) 3])</f>
        <v>2051172.58</v>
      </c>
      <c r="S93" s="41">
        <f>SUM(Tabel134[Inv.
(15)4])</f>
        <v>11304133.26</v>
      </c>
      <c r="T93" s="41">
        <f>SUM(Tabel134[Tööj.kulu
(50)4])</f>
        <v>1989225</v>
      </c>
      <c r="U93" s="41">
        <f>SUM(Tabel134[Maj.kulu
(55) 4])</f>
        <v>4078513.68</v>
      </c>
    </row>
    <row r="94" spans="1:21" ht="45" x14ac:dyDescent="0.25">
      <c r="E94" s="81" t="s">
        <v>89</v>
      </c>
      <c r="F94" s="82" t="s">
        <v>77</v>
      </c>
      <c r="G94" s="83" t="s">
        <v>88</v>
      </c>
      <c r="H94" s="83" t="s">
        <v>80</v>
      </c>
      <c r="I94" s="82" t="s">
        <v>78</v>
      </c>
      <c r="J94" s="84" t="s">
        <v>65</v>
      </c>
      <c r="K94" s="83" t="s">
        <v>69</v>
      </c>
      <c r="L94" s="83" t="s">
        <v>73</v>
      </c>
      <c r="M94" s="84" t="s">
        <v>66</v>
      </c>
      <c r="N94" s="83" t="s">
        <v>70</v>
      </c>
      <c r="O94" s="83" t="s">
        <v>74</v>
      </c>
      <c r="P94" s="84" t="s">
        <v>67</v>
      </c>
      <c r="Q94" s="83" t="s">
        <v>71</v>
      </c>
      <c r="R94" s="83" t="s">
        <v>75</v>
      </c>
      <c r="S94" s="84" t="s">
        <v>68</v>
      </c>
      <c r="T94" s="83" t="s">
        <v>72</v>
      </c>
      <c r="U94" s="83" t="s">
        <v>76</v>
      </c>
    </row>
    <row r="95" spans="1:21" ht="54" customHeight="1" x14ac:dyDescent="0.25">
      <c r="B95" s="85" t="s">
        <v>190</v>
      </c>
      <c r="C95" s="85"/>
      <c r="D95" s="85"/>
      <c r="E95" s="92" t="s">
        <v>79</v>
      </c>
      <c r="F95" s="92"/>
      <c r="G95" s="92"/>
      <c r="H95" s="92"/>
      <c r="I95" s="92"/>
      <c r="J95" s="92" t="s">
        <v>62</v>
      </c>
      <c r="K95" s="92"/>
      <c r="L95" s="93"/>
      <c r="M95" s="94" t="s">
        <v>63</v>
      </c>
      <c r="N95" s="95"/>
      <c r="O95" s="95"/>
      <c r="P95" s="95" t="s">
        <v>58</v>
      </c>
      <c r="Q95" s="95"/>
      <c r="R95" s="96"/>
      <c r="S95" s="94" t="s">
        <v>64</v>
      </c>
      <c r="T95" s="95"/>
      <c r="U95" s="96"/>
    </row>
    <row r="96" spans="1:21" x14ac:dyDescent="0.25">
      <c r="B96" s="85"/>
      <c r="C96" s="85"/>
      <c r="D96" s="85"/>
    </row>
    <row r="97" spans="2:4" x14ac:dyDescent="0.25">
      <c r="B97" s="85"/>
      <c r="C97" s="85"/>
      <c r="D97" s="85"/>
    </row>
    <row r="98" spans="2:4" x14ac:dyDescent="0.25">
      <c r="B98" s="85"/>
      <c r="C98" s="85"/>
      <c r="D98" s="85"/>
    </row>
    <row r="99" spans="2:4" x14ac:dyDescent="0.25">
      <c r="B99" s="85"/>
      <c r="C99" s="85"/>
      <c r="D99" s="85"/>
    </row>
    <row r="100" spans="2:4" x14ac:dyDescent="0.25">
      <c r="B100" s="85"/>
      <c r="C100" s="85"/>
      <c r="D100" s="85"/>
    </row>
    <row r="101" spans="2:4" x14ac:dyDescent="0.25">
      <c r="B101" s="85"/>
      <c r="C101" s="85"/>
      <c r="D101" s="85"/>
    </row>
    <row r="102" spans="2:4" x14ac:dyDescent="0.25">
      <c r="B102" s="85"/>
      <c r="C102" s="85"/>
      <c r="D102" s="85"/>
    </row>
    <row r="103" spans="2:4" x14ac:dyDescent="0.25">
      <c r="B103" s="85"/>
      <c r="C103" s="85"/>
      <c r="D103" s="85"/>
    </row>
    <row r="104" spans="2:4" x14ac:dyDescent="0.25">
      <c r="B104" s="85"/>
      <c r="C104" s="85"/>
      <c r="D104" s="85"/>
    </row>
  </sheetData>
  <mergeCells count="11">
    <mergeCell ref="S2:U2"/>
    <mergeCell ref="E95:I95"/>
    <mergeCell ref="J95:L95"/>
    <mergeCell ref="M95:O95"/>
    <mergeCell ref="P95:R95"/>
    <mergeCell ref="S95:U95"/>
    <mergeCell ref="E2:I2"/>
    <mergeCell ref="J2:L2"/>
    <mergeCell ref="M2:O2"/>
    <mergeCell ref="P2:R2"/>
    <mergeCell ref="B95:D104"/>
  </mergeCells>
  <pageMargins left="0.23622047244094491" right="0.23622047244094491" top="0.74803149606299213" bottom="0.74803149606299213" header="0.31496062992125984" footer="0.31496062992125984"/>
  <pageSetup paperSize="9" scale="5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173C2-0D2A-4F02-B051-93614F46664B}">
  <dimension ref="A2:I38"/>
  <sheetViews>
    <sheetView zoomScaleNormal="100" workbookViewId="0">
      <selection activeCell="J16" sqref="J16"/>
    </sheetView>
  </sheetViews>
  <sheetFormatPr defaultRowHeight="15" x14ac:dyDescent="0.25"/>
  <cols>
    <col min="2" max="2" width="10.85546875" bestFit="1" customWidth="1"/>
    <col min="3" max="3" width="80" bestFit="1" customWidth="1"/>
    <col min="4" max="4" width="19.85546875" customWidth="1"/>
    <col min="5" max="5" width="22.28515625" bestFit="1" customWidth="1"/>
    <col min="6" max="6" width="22.28515625" customWidth="1"/>
    <col min="7" max="7" width="26" bestFit="1" customWidth="1"/>
    <col min="8" max="8" width="26" customWidth="1"/>
    <col min="9" max="9" width="25.42578125" customWidth="1"/>
    <col min="10" max="10" width="13.140625" customWidth="1"/>
  </cols>
  <sheetData>
    <row r="2" spans="1:9" x14ac:dyDescent="0.25">
      <c r="A2" s="1" t="s">
        <v>21</v>
      </c>
      <c r="B2" s="1" t="s">
        <v>34</v>
      </c>
      <c r="C2" s="1" t="s">
        <v>2</v>
      </c>
      <c r="D2" s="1" t="s">
        <v>6</v>
      </c>
      <c r="E2" s="1" t="s">
        <v>5</v>
      </c>
      <c r="F2" s="1" t="s">
        <v>43</v>
      </c>
      <c r="G2" s="1" t="s">
        <v>4</v>
      </c>
      <c r="H2" s="1" t="s">
        <v>44</v>
      </c>
      <c r="I2" s="1" t="s">
        <v>3</v>
      </c>
    </row>
    <row r="3" spans="1:9" x14ac:dyDescent="0.25">
      <c r="A3">
        <v>1</v>
      </c>
      <c r="B3" s="9" t="s">
        <v>35</v>
      </c>
      <c r="C3" s="2" t="s">
        <v>22</v>
      </c>
      <c r="D3" s="5">
        <f t="shared" ref="D3:D37" si="0">SUM(E3+G3+I3)</f>
        <v>135400</v>
      </c>
      <c r="E3" s="3">
        <v>116400</v>
      </c>
      <c r="F3" s="3">
        <f>Tabel1[[#This Row],[Investeering (KM-ga)]]/1.2</f>
        <v>97000</v>
      </c>
      <c r="G3" s="3">
        <v>0</v>
      </c>
      <c r="H3" s="3">
        <f>Tabel1[[#This Row],[Majandamiskulu (KM-ga)]]/1.2</f>
        <v>0</v>
      </c>
      <c r="I3" s="3">
        <v>19000</v>
      </c>
    </row>
    <row r="4" spans="1:9" x14ac:dyDescent="0.25">
      <c r="A4">
        <v>2</v>
      </c>
      <c r="B4" s="9" t="s">
        <v>35</v>
      </c>
      <c r="C4" s="4" t="s">
        <v>23</v>
      </c>
      <c r="D4" s="5">
        <f t="shared" si="0"/>
        <v>83400</v>
      </c>
      <c r="E4" s="3">
        <v>68200</v>
      </c>
      <c r="F4" s="3">
        <f>Tabel1[[#This Row],[Investeering (KM-ga)]]/1.2</f>
        <v>56833.333333333336</v>
      </c>
      <c r="G4" s="3">
        <v>0</v>
      </c>
      <c r="H4" s="3">
        <f>Tabel1[[#This Row],[Majandamiskulu (KM-ga)]]/1.2</f>
        <v>0</v>
      </c>
      <c r="I4" s="3">
        <v>15200</v>
      </c>
    </row>
    <row r="5" spans="1:9" x14ac:dyDescent="0.25">
      <c r="A5">
        <v>3</v>
      </c>
      <c r="B5" s="9" t="s">
        <v>35</v>
      </c>
      <c r="C5" s="4" t="s">
        <v>0</v>
      </c>
      <c r="D5" s="5">
        <f t="shared" si="0"/>
        <v>267200</v>
      </c>
      <c r="E5" s="3">
        <v>240000</v>
      </c>
      <c r="F5" s="3">
        <f>Tabel1[[#This Row],[Investeering (KM-ga)]]/1.2</f>
        <v>200000</v>
      </c>
      <c r="G5" s="3">
        <v>12000</v>
      </c>
      <c r="H5" s="3">
        <f>Tabel1[[#This Row],[Majandamiskulu (KM-ga)]]/1.2</f>
        <v>10000</v>
      </c>
      <c r="I5" s="3">
        <v>15200</v>
      </c>
    </row>
    <row r="6" spans="1:9" x14ac:dyDescent="0.25">
      <c r="A6">
        <v>4</v>
      </c>
      <c r="B6" s="9" t="s">
        <v>35</v>
      </c>
      <c r="C6" s="4" t="s">
        <v>1</v>
      </c>
      <c r="D6" s="5">
        <f t="shared" si="0"/>
        <v>754800</v>
      </c>
      <c r="E6" s="3">
        <f>468000+60000</f>
        <v>528000</v>
      </c>
      <c r="F6" s="3">
        <f>Tabel1[[#This Row],[Investeering (KM-ga)]]/1.2</f>
        <v>440000</v>
      </c>
      <c r="G6" s="3">
        <f>216000+3600+7200</f>
        <v>226800</v>
      </c>
      <c r="H6" s="3">
        <f>Tabel1[[#This Row],[Majandamiskulu (KM-ga)]]/1.2</f>
        <v>189000</v>
      </c>
      <c r="I6" s="3">
        <v>0</v>
      </c>
    </row>
    <row r="7" spans="1:9" x14ac:dyDescent="0.25">
      <c r="A7">
        <v>5</v>
      </c>
      <c r="B7" s="9" t="s">
        <v>36</v>
      </c>
      <c r="C7" s="4" t="s">
        <v>7</v>
      </c>
      <c r="D7" s="5">
        <f t="shared" si="0"/>
        <v>327000</v>
      </c>
      <c r="E7" s="3">
        <v>75000</v>
      </c>
      <c r="F7" s="3">
        <f>Tabel1[[#This Row],[Investeering (KM-ga)]]/1.2</f>
        <v>62500</v>
      </c>
      <c r="G7" s="3">
        <v>192000</v>
      </c>
      <c r="H7" s="3">
        <f>Tabel1[[#This Row],[Majandamiskulu (KM-ga)]]/1.2</f>
        <v>160000</v>
      </c>
      <c r="I7" s="3">
        <v>60000</v>
      </c>
    </row>
    <row r="8" spans="1:9" x14ac:dyDescent="0.25">
      <c r="A8">
        <v>6</v>
      </c>
      <c r="B8" s="9" t="s">
        <v>36</v>
      </c>
      <c r="C8" s="4" t="s">
        <v>8</v>
      </c>
      <c r="D8" s="5">
        <f t="shared" si="0"/>
        <v>180600</v>
      </c>
      <c r="E8" s="3">
        <v>75000</v>
      </c>
      <c r="F8" s="3">
        <f>Tabel1[[#This Row],[Investeering (KM-ga)]]/1.2</f>
        <v>62500</v>
      </c>
      <c r="G8" s="3">
        <v>105600</v>
      </c>
      <c r="H8" s="3">
        <f>Tabel1[[#This Row],[Majandamiskulu (KM-ga)]]/1.2</f>
        <v>88000</v>
      </c>
      <c r="I8" s="3">
        <v>0</v>
      </c>
    </row>
    <row r="9" spans="1:9" x14ac:dyDescent="0.25">
      <c r="A9">
        <v>7</v>
      </c>
      <c r="B9" s="9" t="s">
        <v>36</v>
      </c>
      <c r="C9" s="4" t="s">
        <v>9</v>
      </c>
      <c r="D9" s="5">
        <f t="shared" si="0"/>
        <v>435000</v>
      </c>
      <c r="E9" s="3">
        <v>75000</v>
      </c>
      <c r="F9" s="3">
        <f>Tabel1[[#This Row],[Investeering (KM-ga)]]/1.2</f>
        <v>62500</v>
      </c>
      <c r="G9" s="3">
        <v>360000</v>
      </c>
      <c r="H9" s="3">
        <f>Tabel1[[#This Row],[Majandamiskulu (KM-ga)]]/1.2</f>
        <v>300000</v>
      </c>
      <c r="I9" s="3">
        <v>0</v>
      </c>
    </row>
    <row r="10" spans="1:9" x14ac:dyDescent="0.25">
      <c r="A10">
        <v>8</v>
      </c>
      <c r="B10" s="9" t="s">
        <v>36</v>
      </c>
      <c r="C10" s="4" t="s">
        <v>10</v>
      </c>
      <c r="D10" s="5">
        <f t="shared" si="0"/>
        <v>69000</v>
      </c>
      <c r="E10" s="3">
        <v>45000</v>
      </c>
      <c r="F10" s="3">
        <f>Tabel1[[#This Row],[Investeering (KM-ga)]]/1.2</f>
        <v>37500</v>
      </c>
      <c r="G10" s="3">
        <v>24000</v>
      </c>
      <c r="H10" s="3">
        <f>Tabel1[[#This Row],[Majandamiskulu (KM-ga)]]/1.2</f>
        <v>20000</v>
      </c>
      <c r="I10" s="3">
        <v>0</v>
      </c>
    </row>
    <row r="11" spans="1:9" x14ac:dyDescent="0.25">
      <c r="A11">
        <v>9</v>
      </c>
      <c r="B11" s="9" t="s">
        <v>36</v>
      </c>
      <c r="C11" s="4" t="s">
        <v>11</v>
      </c>
      <c r="D11" s="5">
        <f t="shared" si="0"/>
        <v>75000</v>
      </c>
      <c r="E11" s="3">
        <v>75000</v>
      </c>
      <c r="F11" s="3">
        <f>Tabel1[[#This Row],[Investeering (KM-ga)]]/1.2</f>
        <v>62500</v>
      </c>
      <c r="G11" s="3">
        <v>0</v>
      </c>
      <c r="H11" s="3">
        <f>Tabel1[[#This Row],[Majandamiskulu (KM-ga)]]/1.2</f>
        <v>0</v>
      </c>
      <c r="I11" s="3">
        <v>0</v>
      </c>
    </row>
    <row r="12" spans="1:9" x14ac:dyDescent="0.25">
      <c r="A12">
        <v>10</v>
      </c>
      <c r="B12" s="9" t="s">
        <v>35</v>
      </c>
      <c r="C12" s="4" t="s">
        <v>12</v>
      </c>
      <c r="D12" s="5">
        <f t="shared" si="0"/>
        <v>117500</v>
      </c>
      <c r="E12" s="3">
        <f>87500*1.2</f>
        <v>105000</v>
      </c>
      <c r="F12" s="3">
        <f>Tabel1[[#This Row],[Investeering (KM-ga)]]/1.2</f>
        <v>87500</v>
      </c>
      <c r="G12" s="3">
        <v>0</v>
      </c>
      <c r="H12" s="3">
        <f>Tabel1[[#This Row],[Majandamiskulu (KM-ga)]]/1.2</f>
        <v>0</v>
      </c>
      <c r="I12" s="3">
        <f>12500</f>
        <v>12500</v>
      </c>
    </row>
    <row r="13" spans="1:9" x14ac:dyDescent="0.25">
      <c r="A13">
        <v>11</v>
      </c>
      <c r="B13" s="9" t="s">
        <v>35</v>
      </c>
      <c r="C13" s="4" t="s">
        <v>13</v>
      </c>
      <c r="D13" s="5">
        <f t="shared" si="0"/>
        <v>210080</v>
      </c>
      <c r="E13" s="3">
        <f>158400*1.2</f>
        <v>190080</v>
      </c>
      <c r="F13" s="3">
        <f>Tabel1[[#This Row],[Investeering (KM-ga)]]/1.2</f>
        <v>158400</v>
      </c>
      <c r="G13" s="3">
        <v>0</v>
      </c>
      <c r="H13" s="3">
        <f>Tabel1[[#This Row],[Majandamiskulu (KM-ga)]]/1.2</f>
        <v>0</v>
      </c>
      <c r="I13" s="3">
        <v>20000</v>
      </c>
    </row>
    <row r="14" spans="1:9" x14ac:dyDescent="0.25">
      <c r="A14">
        <v>12</v>
      </c>
      <c r="B14" s="9" t="s">
        <v>35</v>
      </c>
      <c r="C14" s="4" t="s">
        <v>14</v>
      </c>
      <c r="D14" s="5">
        <f t="shared" si="0"/>
        <v>181800</v>
      </c>
      <c r="E14" s="3">
        <f>135000*1.2</f>
        <v>162000</v>
      </c>
      <c r="F14" s="3">
        <f>Tabel1[[#This Row],[Investeering (KM-ga)]]/1.2</f>
        <v>135000</v>
      </c>
      <c r="G14" s="3">
        <v>0</v>
      </c>
      <c r="H14" s="3">
        <f>Tabel1[[#This Row],[Majandamiskulu (KM-ga)]]/1.2</f>
        <v>0</v>
      </c>
      <c r="I14" s="3">
        <v>19800</v>
      </c>
    </row>
    <row r="15" spans="1:9" x14ac:dyDescent="0.25">
      <c r="A15">
        <v>13</v>
      </c>
      <c r="B15" s="9" t="s">
        <v>35</v>
      </c>
      <c r="C15" s="4" t="s">
        <v>15</v>
      </c>
      <c r="D15" s="5">
        <f t="shared" si="0"/>
        <v>960000</v>
      </c>
      <c r="E15" s="3">
        <f>750000*1.2</f>
        <v>900000</v>
      </c>
      <c r="F15" s="3">
        <f>Tabel1[[#This Row],[Investeering (KM-ga)]]/1.2</f>
        <v>750000</v>
      </c>
      <c r="G15" s="3">
        <f>50000*1.2</f>
        <v>60000</v>
      </c>
      <c r="H15" s="3">
        <f>Tabel1[[#This Row],[Majandamiskulu (KM-ga)]]/1.2</f>
        <v>50000</v>
      </c>
      <c r="I15" s="3">
        <v>0</v>
      </c>
    </row>
    <row r="16" spans="1:9" x14ac:dyDescent="0.25">
      <c r="A16">
        <v>14</v>
      </c>
      <c r="B16" s="9" t="s">
        <v>35</v>
      </c>
      <c r="C16" s="4" t="s">
        <v>46</v>
      </c>
      <c r="D16" s="5">
        <f>SUM(E16+G16+I16)</f>
        <v>45158</v>
      </c>
      <c r="E16" s="3">
        <v>0</v>
      </c>
      <c r="F16" s="3">
        <f>Tabel1[[#This Row],[Investeering (KM-ga)]]/1.2</f>
        <v>0</v>
      </c>
      <c r="G16" s="3">
        <v>0</v>
      </c>
      <c r="H16" s="3">
        <f>Tabel1[[#This Row],[Majandamiskulu (KM-ga)]]/1.2</f>
        <v>0</v>
      </c>
      <c r="I16" s="3">
        <v>45158</v>
      </c>
    </row>
    <row r="17" spans="1:9" x14ac:dyDescent="0.25">
      <c r="A17">
        <v>15</v>
      </c>
      <c r="B17" s="9" t="s">
        <v>37</v>
      </c>
      <c r="C17" s="4" t="s">
        <v>24</v>
      </c>
      <c r="D17" s="5">
        <f t="shared" si="0"/>
        <v>584842</v>
      </c>
      <c r="E17" s="3">
        <f>305000*1.2</f>
        <v>366000</v>
      </c>
      <c r="F17" s="3">
        <f>Tabel1[[#This Row],[Investeering (KM-ga)]]/1.2</f>
        <v>305000</v>
      </c>
      <c r="G17" s="3">
        <f>80000*1.2</f>
        <v>96000</v>
      </c>
      <c r="H17" s="3">
        <f>Tabel1[[#This Row],[Majandamiskulu (KM-ga)]]/1.2</f>
        <v>80000</v>
      </c>
      <c r="I17" s="3">
        <v>122842</v>
      </c>
    </row>
    <row r="18" spans="1:9" x14ac:dyDescent="0.25">
      <c r="A18">
        <v>16</v>
      </c>
      <c r="B18" s="9" t="s">
        <v>36</v>
      </c>
      <c r="C18" s="4" t="s">
        <v>25</v>
      </c>
      <c r="D18" s="5">
        <f t="shared" si="0"/>
        <v>1140850</v>
      </c>
      <c r="E18" s="3">
        <f>447000*1.2</f>
        <v>536400</v>
      </c>
      <c r="F18" s="3">
        <f>Tabel1[[#This Row],[Investeering (KM-ga)]]/1.2</f>
        <v>447000</v>
      </c>
      <c r="G18" s="3">
        <f>116875*1.2</f>
        <v>140250</v>
      </c>
      <c r="H18" s="3">
        <f>Tabel1[[#This Row],[Majandamiskulu (KM-ga)]]/1.2</f>
        <v>116875</v>
      </c>
      <c r="I18" s="3">
        <f>464200</f>
        <v>464200</v>
      </c>
    </row>
    <row r="19" spans="1:9" x14ac:dyDescent="0.25">
      <c r="A19">
        <v>17</v>
      </c>
      <c r="B19" s="9" t="s">
        <v>37</v>
      </c>
      <c r="C19" s="4" t="s">
        <v>26</v>
      </c>
      <c r="D19" s="5">
        <f t="shared" si="0"/>
        <v>736200</v>
      </c>
      <c r="E19" s="3">
        <f>613500*1.2</f>
        <v>736200</v>
      </c>
      <c r="F19" s="3">
        <f>Tabel1[[#This Row],[Investeering (KM-ga)]]/1.2</f>
        <v>613500</v>
      </c>
      <c r="G19" s="3">
        <v>0</v>
      </c>
      <c r="H19" s="3">
        <f>Tabel1[[#This Row],[Majandamiskulu (KM-ga)]]/1.2</f>
        <v>0</v>
      </c>
      <c r="I19" s="3">
        <v>0</v>
      </c>
    </row>
    <row r="20" spans="1:9" x14ac:dyDescent="0.25">
      <c r="A20">
        <v>18</v>
      </c>
      <c r="B20" s="9" t="s">
        <v>37</v>
      </c>
      <c r="C20" s="2" t="s">
        <v>16</v>
      </c>
      <c r="D20" s="5">
        <f t="shared" si="0"/>
        <v>90000</v>
      </c>
      <c r="E20" s="3">
        <v>0</v>
      </c>
      <c r="F20" s="3">
        <f>Tabel1[[#This Row],[Investeering (KM-ga)]]/1.2</f>
        <v>0</v>
      </c>
      <c r="G20" s="3">
        <v>90000</v>
      </c>
      <c r="H20" s="3">
        <f>Tabel1[[#This Row],[Majandamiskulu (KM-ga)]]/1.2</f>
        <v>75000</v>
      </c>
      <c r="I20" s="3">
        <v>0</v>
      </c>
    </row>
    <row r="21" spans="1:9" x14ac:dyDescent="0.25">
      <c r="A21">
        <v>19</v>
      </c>
      <c r="B21" s="9" t="s">
        <v>37</v>
      </c>
      <c r="C21" s="2" t="s">
        <v>17</v>
      </c>
      <c r="D21" s="5">
        <f t="shared" si="0"/>
        <v>30000</v>
      </c>
      <c r="E21" s="3">
        <v>0</v>
      </c>
      <c r="F21" s="3">
        <f>Tabel1[[#This Row],[Investeering (KM-ga)]]/1.2</f>
        <v>0</v>
      </c>
      <c r="G21" s="3">
        <v>30000</v>
      </c>
      <c r="H21" s="3">
        <f>Tabel1[[#This Row],[Majandamiskulu (KM-ga)]]/1.2</f>
        <v>25000</v>
      </c>
      <c r="I21" s="3">
        <v>0</v>
      </c>
    </row>
    <row r="22" spans="1:9" x14ac:dyDescent="0.25">
      <c r="A22">
        <v>20</v>
      </c>
      <c r="B22" s="9" t="s">
        <v>37</v>
      </c>
      <c r="C22" s="2" t="s">
        <v>18</v>
      </c>
      <c r="D22" s="5">
        <f t="shared" si="0"/>
        <v>90000</v>
      </c>
      <c r="E22" s="3">
        <f>75000*1.2</f>
        <v>90000</v>
      </c>
      <c r="F22" s="3">
        <f>Tabel1[[#This Row],[Investeering (KM-ga)]]/1.2</f>
        <v>75000</v>
      </c>
      <c r="G22" s="3">
        <v>0</v>
      </c>
      <c r="H22" s="3">
        <f>Tabel1[[#This Row],[Majandamiskulu (KM-ga)]]/1.2</f>
        <v>0</v>
      </c>
      <c r="I22" s="3">
        <v>0</v>
      </c>
    </row>
    <row r="23" spans="1:9" x14ac:dyDescent="0.25">
      <c r="A23">
        <v>21</v>
      </c>
      <c r="B23" s="9" t="s">
        <v>37</v>
      </c>
      <c r="C23" s="2" t="s">
        <v>19</v>
      </c>
      <c r="D23" s="5">
        <f t="shared" si="0"/>
        <v>186000</v>
      </c>
      <c r="E23" s="3">
        <v>0</v>
      </c>
      <c r="F23" s="3">
        <f>Tabel1[[#This Row],[Investeering (KM-ga)]]/1.2</f>
        <v>0</v>
      </c>
      <c r="G23" s="3">
        <f>155000*1.2</f>
        <v>186000</v>
      </c>
      <c r="H23" s="3">
        <f>Tabel1[[#This Row],[Majandamiskulu (KM-ga)]]/1.2</f>
        <v>155000</v>
      </c>
      <c r="I23" s="3">
        <v>0</v>
      </c>
    </row>
    <row r="24" spans="1:9" x14ac:dyDescent="0.25">
      <c r="A24">
        <v>22</v>
      </c>
      <c r="B24" s="9" t="s">
        <v>37</v>
      </c>
      <c r="C24" s="2" t="s">
        <v>20</v>
      </c>
      <c r="D24" s="5">
        <f t="shared" si="0"/>
        <v>198927.6</v>
      </c>
      <c r="E24" s="3">
        <v>0</v>
      </c>
      <c r="F24" s="3">
        <f>Tabel1[[#This Row],[Investeering (KM-ga)]]/1.2</f>
        <v>0</v>
      </c>
      <c r="G24" s="3">
        <f>122288*1.2</f>
        <v>146745.60000000001</v>
      </c>
      <c r="H24" s="3">
        <f>Tabel1[[#This Row],[Majandamiskulu (KM-ga)]]/1.2</f>
        <v>122288.00000000001</v>
      </c>
      <c r="I24" s="3">
        <v>52182</v>
      </c>
    </row>
    <row r="25" spans="1:9" x14ac:dyDescent="0.25">
      <c r="A25">
        <v>23</v>
      </c>
      <c r="B25" s="9" t="s">
        <v>35</v>
      </c>
      <c r="C25" s="4" t="s">
        <v>27</v>
      </c>
      <c r="D25" s="5">
        <f t="shared" si="0"/>
        <v>264000</v>
      </c>
      <c r="E25" s="3">
        <v>0</v>
      </c>
      <c r="F25" s="3">
        <f>Tabel1[[#This Row],[Investeering (KM-ga)]]/1.2</f>
        <v>0</v>
      </c>
      <c r="G25" s="3">
        <f>220000*1.2</f>
        <v>264000</v>
      </c>
      <c r="H25" s="3">
        <f>Tabel1[[#This Row],[Majandamiskulu (KM-ga)]]/1.2</f>
        <v>220000</v>
      </c>
      <c r="I25" s="3">
        <v>0</v>
      </c>
    </row>
    <row r="26" spans="1:9" x14ac:dyDescent="0.25">
      <c r="A26">
        <v>24</v>
      </c>
      <c r="B26" s="9" t="s">
        <v>35</v>
      </c>
      <c r="C26" s="4" t="s">
        <v>45</v>
      </c>
      <c r="D26" s="5">
        <f>SUM(E26+G26+I26)</f>
        <v>432000</v>
      </c>
      <c r="E26" s="3">
        <v>0</v>
      </c>
      <c r="F26" s="3">
        <f>Tabel1[[#This Row],[Investeering (KM-ga)]]/1.2</f>
        <v>0</v>
      </c>
      <c r="G26" s="3">
        <v>432000</v>
      </c>
      <c r="H26" s="3">
        <f>Tabel1[[#This Row],[Majandamiskulu (KM-ga)]]/1.2</f>
        <v>360000</v>
      </c>
      <c r="I26" s="3">
        <v>0</v>
      </c>
    </row>
    <row r="27" spans="1:9" x14ac:dyDescent="0.25">
      <c r="A27">
        <v>25</v>
      </c>
      <c r="B27" s="9" t="s">
        <v>35</v>
      </c>
      <c r="C27" s="4" t="s">
        <v>28</v>
      </c>
      <c r="D27" s="5">
        <f t="shared" si="0"/>
        <v>84000</v>
      </c>
      <c r="E27" s="3">
        <f>70000*1.2</f>
        <v>84000</v>
      </c>
      <c r="F27" s="3">
        <f>Tabel1[[#This Row],[Investeering (KM-ga)]]/1.2</f>
        <v>70000</v>
      </c>
      <c r="G27" s="3">
        <v>0</v>
      </c>
      <c r="H27" s="3">
        <f>Tabel1[[#This Row],[Majandamiskulu (KM-ga)]]/1.2</f>
        <v>0</v>
      </c>
      <c r="I27" s="3">
        <v>0</v>
      </c>
    </row>
    <row r="28" spans="1:9" x14ac:dyDescent="0.25">
      <c r="A28">
        <v>26</v>
      </c>
      <c r="B28" s="9" t="s">
        <v>35</v>
      </c>
      <c r="C28" s="4" t="s">
        <v>29</v>
      </c>
      <c r="D28" s="5">
        <f t="shared" si="0"/>
        <v>144000</v>
      </c>
      <c r="E28" s="3">
        <f>120000*1.2</f>
        <v>144000</v>
      </c>
      <c r="F28" s="3">
        <f>Tabel1[[#This Row],[Investeering (KM-ga)]]/1.2</f>
        <v>120000</v>
      </c>
      <c r="G28" s="3">
        <v>0</v>
      </c>
      <c r="H28" s="3">
        <f>Tabel1[[#This Row],[Majandamiskulu (KM-ga)]]/1.2</f>
        <v>0</v>
      </c>
      <c r="I28" s="3">
        <v>0</v>
      </c>
    </row>
    <row r="29" spans="1:9" x14ac:dyDescent="0.25">
      <c r="A29">
        <v>27</v>
      </c>
      <c r="B29" s="9" t="s">
        <v>35</v>
      </c>
      <c r="C29" s="8" t="s">
        <v>30</v>
      </c>
      <c r="D29" s="6">
        <f t="shared" si="0"/>
        <v>725268</v>
      </c>
      <c r="E29" s="7">
        <f>370000*1.2</f>
        <v>444000</v>
      </c>
      <c r="F29" s="7">
        <f>Tabel1[[#This Row],[Investeering (KM-ga)]]/1.2</f>
        <v>370000</v>
      </c>
      <c r="G29" s="7">
        <f>52500*1.2</f>
        <v>63000</v>
      </c>
      <c r="H29" s="7">
        <f>Tabel1[[#This Row],[Majandamiskulu (KM-ga)]]/1.2</f>
        <v>52500</v>
      </c>
      <c r="I29" s="7">
        <v>218268</v>
      </c>
    </row>
    <row r="30" spans="1:9" x14ac:dyDescent="0.25">
      <c r="A30">
        <v>28</v>
      </c>
      <c r="B30" s="9" t="s">
        <v>35</v>
      </c>
      <c r="C30" s="4" t="s">
        <v>31</v>
      </c>
      <c r="D30" s="5">
        <f t="shared" si="0"/>
        <v>63189</v>
      </c>
      <c r="E30" s="3">
        <v>0</v>
      </c>
      <c r="F30" s="3">
        <f>Tabel1[[#This Row],[Investeering (KM-ga)]]/1.2</f>
        <v>0</v>
      </c>
      <c r="G30" s="3">
        <f>7500*1.2</f>
        <v>9000</v>
      </c>
      <c r="H30" s="3">
        <f>Tabel1[[#This Row],[Majandamiskulu (KM-ga)]]/1.2</f>
        <v>7500</v>
      </c>
      <c r="I30" s="3">
        <v>54189</v>
      </c>
    </row>
    <row r="31" spans="1:9" x14ac:dyDescent="0.25">
      <c r="A31">
        <v>29</v>
      </c>
      <c r="B31" s="9" t="s">
        <v>37</v>
      </c>
      <c r="C31" s="4" t="s">
        <v>32</v>
      </c>
      <c r="D31" s="5">
        <f t="shared" si="0"/>
        <v>132000</v>
      </c>
      <c r="E31" s="3">
        <v>0</v>
      </c>
      <c r="F31" s="3">
        <f>Tabel1[[#This Row],[Investeering (KM-ga)]]/1.2</f>
        <v>0</v>
      </c>
      <c r="G31" s="3">
        <f>110000*1.2</f>
        <v>132000</v>
      </c>
      <c r="H31" s="3">
        <f>Tabel1[[#This Row],[Majandamiskulu (KM-ga)]]/1.2</f>
        <v>110000</v>
      </c>
      <c r="I31" s="3">
        <v>0</v>
      </c>
    </row>
    <row r="32" spans="1:9" x14ac:dyDescent="0.25">
      <c r="A32">
        <v>30</v>
      </c>
      <c r="B32" s="9" t="s">
        <v>37</v>
      </c>
      <c r="C32" s="4" t="s">
        <v>33</v>
      </c>
      <c r="D32" s="5">
        <f t="shared" si="0"/>
        <v>139680</v>
      </c>
      <c r="E32" s="3">
        <v>0</v>
      </c>
      <c r="F32" s="3">
        <f>Tabel1[[#This Row],[Investeering (KM-ga)]]/1.2</f>
        <v>0</v>
      </c>
      <c r="G32" s="3">
        <f>116400*1.2</f>
        <v>139680</v>
      </c>
      <c r="H32" s="3">
        <f>Tabel1[[#This Row],[Majandamiskulu (KM-ga)]]/1.2</f>
        <v>116400</v>
      </c>
      <c r="I32" s="3">
        <v>0</v>
      </c>
    </row>
    <row r="33" spans="1:9" x14ac:dyDescent="0.25">
      <c r="A33">
        <v>31</v>
      </c>
      <c r="B33" s="9" t="s">
        <v>37</v>
      </c>
      <c r="C33" s="4" t="s">
        <v>38</v>
      </c>
      <c r="D33" s="5">
        <f t="shared" si="0"/>
        <v>216000</v>
      </c>
      <c r="E33" s="3">
        <v>0</v>
      </c>
      <c r="F33" s="3">
        <f>Tabel1[[#This Row],[Investeering (KM-ga)]]/1.2</f>
        <v>0</v>
      </c>
      <c r="G33" s="3">
        <v>216000</v>
      </c>
      <c r="H33" s="3">
        <f>Tabel1[[#This Row],[Majandamiskulu (KM-ga)]]/1.2</f>
        <v>180000</v>
      </c>
      <c r="I33" s="3">
        <v>0</v>
      </c>
    </row>
    <row r="34" spans="1:9" x14ac:dyDescent="0.25">
      <c r="A34">
        <v>32</v>
      </c>
      <c r="B34" s="9" t="s">
        <v>35</v>
      </c>
      <c r="C34" s="4" t="s">
        <v>41</v>
      </c>
      <c r="D34" s="5">
        <f t="shared" si="0"/>
        <v>60000</v>
      </c>
      <c r="E34" s="3">
        <f>Tabel1[[#This Row],[Investeering (ilma KM)]]*1.2</f>
        <v>60000</v>
      </c>
      <c r="F34" s="3">
        <v>50000</v>
      </c>
      <c r="G34" s="3">
        <v>0</v>
      </c>
      <c r="H34" s="3">
        <f>Tabel1[[#This Row],[Majandamiskulu (KM-ga)]]/1.2</f>
        <v>0</v>
      </c>
      <c r="I34" s="3">
        <v>0</v>
      </c>
    </row>
    <row r="35" spans="1:9" x14ac:dyDescent="0.25">
      <c r="A35">
        <v>33</v>
      </c>
      <c r="B35" s="9" t="s">
        <v>35</v>
      </c>
      <c r="C35" s="4" t="s">
        <v>42</v>
      </c>
      <c r="D35" s="5">
        <f t="shared" si="0"/>
        <v>0</v>
      </c>
      <c r="E35" s="3">
        <f>Tabel1[[#This Row],[Investeering (ilma KM)]]*1.2</f>
        <v>0</v>
      </c>
      <c r="F35" s="3">
        <v>0</v>
      </c>
      <c r="G35" s="3">
        <v>0</v>
      </c>
      <c r="H35" s="3">
        <f>Tabel1[[#This Row],[Majandamiskulu (KM-ga)]]/1.2</f>
        <v>0</v>
      </c>
      <c r="I35" s="3">
        <v>0</v>
      </c>
    </row>
    <row r="36" spans="1:9" x14ac:dyDescent="0.25">
      <c r="A36">
        <v>34</v>
      </c>
      <c r="B36" s="9" t="s">
        <v>35</v>
      </c>
      <c r="C36" s="10" t="s">
        <v>39</v>
      </c>
      <c r="D36" s="5">
        <f t="shared" si="0"/>
        <v>90000</v>
      </c>
      <c r="E36" s="3">
        <f>Tabel1[[#This Row],[Investeering (ilma KM)]]*1.2</f>
        <v>0</v>
      </c>
      <c r="F36" s="3">
        <v>0</v>
      </c>
      <c r="G36" s="3">
        <f>Tabel1[[#This Row],[Majandamiskulu (ilma KM)]]*1.2</f>
        <v>90000</v>
      </c>
      <c r="H36" s="3">
        <v>75000</v>
      </c>
      <c r="I36" s="3">
        <v>0</v>
      </c>
    </row>
    <row r="37" spans="1:9" x14ac:dyDescent="0.25">
      <c r="A37">
        <v>35</v>
      </c>
      <c r="B37" s="9" t="s">
        <v>35</v>
      </c>
      <c r="C37" s="10" t="s">
        <v>40</v>
      </c>
      <c r="D37" s="5">
        <f t="shared" si="0"/>
        <v>42000</v>
      </c>
      <c r="E37" s="3">
        <f>Tabel1[[#This Row],[Investeering (ilma KM)]]*1.2</f>
        <v>42000</v>
      </c>
      <c r="F37" s="3">
        <v>35000</v>
      </c>
      <c r="G37" s="3">
        <v>0</v>
      </c>
      <c r="H37" s="3">
        <f>Tabel1[[#This Row],[Majandamiskulu (KM-ga)]]/1.2</f>
        <v>0</v>
      </c>
      <c r="I37" s="3">
        <v>0</v>
      </c>
    </row>
    <row r="38" spans="1:9" x14ac:dyDescent="0.25">
      <c r="A38" s="12"/>
      <c r="B38" s="12"/>
      <c r="C38" s="13" t="s">
        <v>48</v>
      </c>
      <c r="D38" s="14">
        <f>SUM(D3:D37)</f>
        <v>9290894.5999999996</v>
      </c>
      <c r="E38" s="14">
        <f t="shared" ref="E38:I38" si="1">SUM(E3:E37)</f>
        <v>5157280</v>
      </c>
      <c r="F38" s="14">
        <f t="shared" si="1"/>
        <v>4297733.333333334</v>
      </c>
      <c r="G38" s="14">
        <f t="shared" si="1"/>
        <v>3015075.6</v>
      </c>
      <c r="H38" s="14">
        <f t="shared" si="1"/>
        <v>2512563</v>
      </c>
      <c r="I38" s="14">
        <f t="shared" si="1"/>
        <v>1118539</v>
      </c>
    </row>
  </sheetData>
  <phoneticPr fontId="2" type="noConversion"/>
  <pageMargins left="0.7" right="0.7" top="0.75" bottom="0.75" header="0.3" footer="0.3"/>
  <pageSetup paperSize="9" orientation="portrait" r:id="rId1"/>
  <ignoredErrors>
    <ignoredError sqref="F34:F36 H36" calculatedColumn="1"/>
  </ignoredError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F8917-6589-4AFB-83AD-1EF8E67904BC}">
  <dimension ref="A1:U95"/>
  <sheetViews>
    <sheetView topLeftCell="I1" zoomScale="85" zoomScaleNormal="85" workbookViewId="0">
      <selection activeCell="I4" sqref="I4:I12"/>
    </sheetView>
  </sheetViews>
  <sheetFormatPr defaultRowHeight="15" x14ac:dyDescent="0.25"/>
  <cols>
    <col min="2" max="2" width="26.42578125" bestFit="1" customWidth="1"/>
    <col min="3" max="3" width="31.7109375" bestFit="1" customWidth="1"/>
    <col min="4" max="4" width="80" bestFit="1" customWidth="1"/>
    <col min="5" max="5" width="12.5703125" style="15" bestFit="1" customWidth="1"/>
    <col min="6" max="6" width="10.7109375" style="17" bestFit="1" customWidth="1"/>
    <col min="7" max="7" width="12.85546875" style="17" bestFit="1" customWidth="1"/>
    <col min="8" max="8" width="10.7109375" style="17" bestFit="1" customWidth="1"/>
    <col min="9" max="9" width="11.7109375" style="17" bestFit="1" customWidth="1"/>
    <col min="10" max="10" width="10.7109375" style="15" bestFit="1" customWidth="1"/>
    <col min="11" max="11" width="11.5703125" style="17" bestFit="1" customWidth="1"/>
    <col min="12" max="12" width="11.140625" style="17" bestFit="1" customWidth="1"/>
    <col min="13" max="13" width="11.7109375" style="15" bestFit="1" customWidth="1"/>
    <col min="14" max="14" width="11.5703125" style="17" bestFit="1" customWidth="1"/>
    <col min="15" max="15" width="11.140625" style="17" bestFit="1" customWidth="1"/>
    <col min="16" max="16" width="10.85546875" style="17" bestFit="1" customWidth="1"/>
    <col min="17" max="17" width="11.7109375" style="17" bestFit="1" customWidth="1"/>
    <col min="18" max="18" width="11.140625" style="17" bestFit="1" customWidth="1"/>
    <col min="19" max="19" width="12.140625" style="15" customWidth="1"/>
    <col min="20" max="20" width="11.5703125" style="17" bestFit="1" customWidth="1"/>
    <col min="21" max="21" width="11.7109375" style="17" bestFit="1" customWidth="1"/>
    <col min="22" max="22" width="13.140625" customWidth="1"/>
  </cols>
  <sheetData>
    <row r="1" spans="1:21" x14ac:dyDescent="0.25">
      <c r="A1" t="s">
        <v>47</v>
      </c>
      <c r="E1" s="16"/>
    </row>
    <row r="2" spans="1:21" ht="48" customHeight="1" x14ac:dyDescent="0.25">
      <c r="E2" s="97" t="s">
        <v>79</v>
      </c>
      <c r="F2" s="97"/>
      <c r="G2" s="97"/>
      <c r="H2" s="97"/>
      <c r="I2" s="97"/>
      <c r="J2" s="97" t="s">
        <v>62</v>
      </c>
      <c r="K2" s="97"/>
      <c r="L2" s="98"/>
      <c r="M2" s="99" t="s">
        <v>63</v>
      </c>
      <c r="N2" s="100"/>
      <c r="O2" s="100"/>
      <c r="P2" s="100" t="s">
        <v>58</v>
      </c>
      <c r="Q2" s="100"/>
      <c r="R2" s="101"/>
      <c r="S2" s="99" t="s">
        <v>64</v>
      </c>
      <c r="T2" s="100"/>
      <c r="U2" s="101"/>
    </row>
    <row r="3" spans="1:21" ht="45.75" thickBot="1" x14ac:dyDescent="0.3">
      <c r="A3" s="1" t="s">
        <v>21</v>
      </c>
      <c r="B3" s="1" t="s">
        <v>34</v>
      </c>
      <c r="C3" s="1" t="s">
        <v>49</v>
      </c>
      <c r="D3" s="1" t="s">
        <v>2</v>
      </c>
      <c r="E3" s="19" t="s">
        <v>89</v>
      </c>
      <c r="F3" s="18" t="s">
        <v>77</v>
      </c>
      <c r="G3" s="21" t="s">
        <v>88</v>
      </c>
      <c r="H3" s="21" t="s">
        <v>80</v>
      </c>
      <c r="I3" s="18" t="s">
        <v>78</v>
      </c>
      <c r="J3" s="20" t="s">
        <v>65</v>
      </c>
      <c r="K3" s="21" t="s">
        <v>69</v>
      </c>
      <c r="L3" s="21" t="s">
        <v>73</v>
      </c>
      <c r="M3" s="20" t="s">
        <v>66</v>
      </c>
      <c r="N3" s="21" t="s">
        <v>70</v>
      </c>
      <c r="O3" s="21" t="s">
        <v>74</v>
      </c>
      <c r="P3" s="20" t="s">
        <v>67</v>
      </c>
      <c r="Q3" s="21" t="s">
        <v>71</v>
      </c>
      <c r="R3" s="21" t="s">
        <v>75</v>
      </c>
      <c r="S3" s="20" t="s">
        <v>68</v>
      </c>
      <c r="T3" s="21" t="s">
        <v>72</v>
      </c>
      <c r="U3" s="21" t="s">
        <v>76</v>
      </c>
    </row>
    <row r="4" spans="1:21" ht="15.75" thickTop="1" x14ac:dyDescent="0.25">
      <c r="A4">
        <v>31</v>
      </c>
      <c r="B4" s="11" t="s">
        <v>36</v>
      </c>
      <c r="C4" s="11" t="s">
        <v>56</v>
      </c>
      <c r="D4" s="4" t="s">
        <v>55</v>
      </c>
      <c r="E4" s="34">
        <f>SUM(Tabel13[[#This Row],[2023]]+Tabel13[[#This Row],[2024 lisanduv]])</f>
        <v>432500</v>
      </c>
      <c r="F4" s="30">
        <f>SUM(Tabel13[[#This Row],[Inv.
(15)]:[Maj.kulu
(55) ]])</f>
        <v>282500</v>
      </c>
      <c r="G4" s="30">
        <f>SUM(Tabel13[[#This Row],[Inv.
(15)2]:[Maj.kulu
(55) 2]])</f>
        <v>275255</v>
      </c>
      <c r="H4" s="31">
        <f>SUM(Tabel13[[#This Row],[Inv.
(15)3]:[Maj.kulu
(55) 3]])</f>
        <v>150000</v>
      </c>
      <c r="I4" s="30">
        <f>SUM(Tabel13[[#This Row],[Inv.
(15)4]:[Maj.kulu
(55) 4]])</f>
        <v>425255</v>
      </c>
      <c r="J4" s="24">
        <v>60000</v>
      </c>
      <c r="K4" s="25">
        <v>62500</v>
      </c>
      <c r="L4" s="26">
        <v>160000</v>
      </c>
      <c r="M4" s="24">
        <v>60000</v>
      </c>
      <c r="N4" s="25">
        <v>62500</v>
      </c>
      <c r="O4" s="26">
        <v>152755</v>
      </c>
      <c r="P4" s="24">
        <v>0</v>
      </c>
      <c r="Q4" s="25">
        <v>150000</v>
      </c>
      <c r="R4" s="26">
        <v>0</v>
      </c>
      <c r="S4" s="24">
        <v>60000</v>
      </c>
      <c r="T4" s="25">
        <v>212500</v>
      </c>
      <c r="U4" s="26">
        <v>152755</v>
      </c>
    </row>
    <row r="5" spans="1:21" x14ac:dyDescent="0.25">
      <c r="A5">
        <v>32</v>
      </c>
      <c r="B5" s="11" t="s">
        <v>36</v>
      </c>
      <c r="C5" s="11" t="s">
        <v>57</v>
      </c>
      <c r="D5" s="4" t="s">
        <v>50</v>
      </c>
      <c r="E5" s="35">
        <f>SUM(Tabel13[[#This Row],[2023]]+Tabel13[[#This Row],[2024 lisanduv]])</f>
        <v>225500</v>
      </c>
      <c r="F5" s="32">
        <f>SUM(Tabel13[[#This Row],[Inv.
(15)]:[Maj.kulu
(55) ]])</f>
        <v>150500</v>
      </c>
      <c r="G5" s="32">
        <f>SUM(Tabel13[[#This Row],[Inv.
(15)2]:[Maj.kulu
(55) 2]])</f>
        <v>126772</v>
      </c>
      <c r="H5" s="32">
        <f>SUM(Tabel13[[#This Row],[Inv.
(15)3]:[Maj.kulu
(55) 3]])</f>
        <v>75000</v>
      </c>
      <c r="I5" s="32">
        <f>SUM(Tabel13[[#This Row],[Inv.
(15)4]:[Maj.kulu
(55) 4]])</f>
        <v>201772</v>
      </c>
      <c r="J5" s="27">
        <v>0</v>
      </c>
      <c r="K5" s="23">
        <v>62500</v>
      </c>
      <c r="L5" s="28">
        <v>88000</v>
      </c>
      <c r="M5" s="27">
        <v>0</v>
      </c>
      <c r="N5" s="23">
        <v>49655</v>
      </c>
      <c r="O5" s="28">
        <v>77117</v>
      </c>
      <c r="P5" s="27">
        <v>0</v>
      </c>
      <c r="Q5" s="23">
        <v>75000</v>
      </c>
      <c r="R5" s="28">
        <v>0</v>
      </c>
      <c r="S5" s="27">
        <v>0</v>
      </c>
      <c r="T5" s="23">
        <v>124655</v>
      </c>
      <c r="U5" s="28">
        <v>77117</v>
      </c>
    </row>
    <row r="6" spans="1:21" x14ac:dyDescent="0.25">
      <c r="A6">
        <v>33</v>
      </c>
      <c r="B6" s="11" t="s">
        <v>36</v>
      </c>
      <c r="C6" s="11" t="s">
        <v>57</v>
      </c>
      <c r="D6" s="4" t="s">
        <v>51</v>
      </c>
      <c r="E6" s="35">
        <f>SUM(Tabel13[[#This Row],[2023]]+Tabel13[[#This Row],[2024 lisanduv]])</f>
        <v>362500</v>
      </c>
      <c r="F6" s="32">
        <f>SUM(Tabel13[[#This Row],[Inv.
(15)]:[Maj.kulu
(55) ]])</f>
        <v>362500</v>
      </c>
      <c r="G6" s="32">
        <f>SUM(Tabel13[[#This Row],[Inv.
(15)2]:[Maj.kulu
(55) 2]])</f>
        <v>327283</v>
      </c>
      <c r="H6" s="32">
        <f>SUM(Tabel13[[#This Row],[Inv.
(15)3]:[Maj.kulu
(55) 3]])</f>
        <v>0</v>
      </c>
      <c r="I6" s="32">
        <f>SUM(Tabel13[[#This Row],[Inv.
(15)4]:[Maj.kulu
(55) 4]])</f>
        <v>327283</v>
      </c>
      <c r="J6" s="27">
        <v>0</v>
      </c>
      <c r="K6" s="23">
        <v>62500</v>
      </c>
      <c r="L6" s="28">
        <v>300000</v>
      </c>
      <c r="M6" s="27">
        <v>0</v>
      </c>
      <c r="N6" s="23">
        <v>39104</v>
      </c>
      <c r="O6" s="28">
        <v>288179</v>
      </c>
      <c r="P6" s="27">
        <v>0</v>
      </c>
      <c r="Q6" s="23">
        <v>0</v>
      </c>
      <c r="R6" s="28">
        <v>0</v>
      </c>
      <c r="S6" s="27">
        <v>0</v>
      </c>
      <c r="T6" s="23">
        <v>39104</v>
      </c>
      <c r="U6" s="28">
        <v>288179</v>
      </c>
    </row>
    <row r="7" spans="1:21" x14ac:dyDescent="0.25">
      <c r="A7">
        <v>34</v>
      </c>
      <c r="B7" s="11" t="s">
        <v>36</v>
      </c>
      <c r="C7" s="11" t="s">
        <v>56</v>
      </c>
      <c r="D7" s="4" t="s">
        <v>52</v>
      </c>
      <c r="E7" s="35">
        <f>SUM(Tabel13[[#This Row],[2023]]+Tabel13[[#This Row],[2024 lisanduv]])</f>
        <v>157500</v>
      </c>
      <c r="F7" s="32">
        <f>SUM(Tabel13[[#This Row],[Inv.
(15)]:[Maj.kulu
(55) ]])</f>
        <v>57500</v>
      </c>
      <c r="G7" s="32">
        <f>SUM(Tabel13[[#This Row],[Inv.
(15)2]:[Maj.kulu
(55) 2]])</f>
        <v>41635</v>
      </c>
      <c r="H7" s="32">
        <f>SUM(Tabel13[[#This Row],[Inv.
(15)3]:[Maj.kulu
(55) 3]])</f>
        <v>100000</v>
      </c>
      <c r="I7" s="32">
        <f>SUM(Tabel13[[#This Row],[Inv.
(15)4]:[Maj.kulu
(55) 4]])</f>
        <v>141635</v>
      </c>
      <c r="J7" s="27">
        <v>0</v>
      </c>
      <c r="K7" s="23">
        <v>37500</v>
      </c>
      <c r="L7" s="28">
        <v>20000</v>
      </c>
      <c r="M7" s="27">
        <v>0</v>
      </c>
      <c r="N7" s="23">
        <v>21635</v>
      </c>
      <c r="O7" s="28">
        <v>20000</v>
      </c>
      <c r="P7" s="27">
        <v>0</v>
      </c>
      <c r="Q7" s="23">
        <v>100000</v>
      </c>
      <c r="R7" s="28">
        <v>0</v>
      </c>
      <c r="S7" s="27">
        <v>0</v>
      </c>
      <c r="T7" s="23">
        <v>121635</v>
      </c>
      <c r="U7" s="28">
        <v>20000</v>
      </c>
    </row>
    <row r="8" spans="1:21" x14ac:dyDescent="0.25">
      <c r="A8">
        <v>35</v>
      </c>
      <c r="B8" s="11" t="s">
        <v>36</v>
      </c>
      <c r="C8" s="11" t="s">
        <v>56</v>
      </c>
      <c r="D8" s="4" t="s">
        <v>53</v>
      </c>
      <c r="E8" s="35">
        <f>SUM(Tabel13[[#This Row],[2023]]+Tabel13[[#This Row],[2024 lisanduv]])</f>
        <v>222500</v>
      </c>
      <c r="F8" s="32">
        <f>SUM(Tabel13[[#This Row],[Inv.
(15)]:[Maj.kulu
(55) ]])</f>
        <v>62500</v>
      </c>
      <c r="G8" s="32">
        <f>SUM(Tabel13[[#This Row],[Inv.
(15)2]:[Maj.kulu
(55) 2]])</f>
        <v>198</v>
      </c>
      <c r="H8" s="32">
        <f>SUM(Tabel13[[#This Row],[Inv.
(15)3]:[Maj.kulu
(55) 3]])</f>
        <v>160000</v>
      </c>
      <c r="I8" s="32">
        <f>SUM(Tabel13[[#This Row],[Inv.
(15)4]:[Maj.kulu
(55) 4]])</f>
        <v>160198</v>
      </c>
      <c r="J8" s="27">
        <v>0</v>
      </c>
      <c r="K8" s="23">
        <v>62500</v>
      </c>
      <c r="L8" s="28">
        <v>0</v>
      </c>
      <c r="M8" s="27">
        <v>0</v>
      </c>
      <c r="N8" s="23">
        <v>198</v>
      </c>
      <c r="O8" s="28">
        <v>0</v>
      </c>
      <c r="P8" s="27">
        <v>0</v>
      </c>
      <c r="Q8" s="23">
        <v>150000</v>
      </c>
      <c r="R8" s="28">
        <v>10000</v>
      </c>
      <c r="S8" s="27">
        <v>0</v>
      </c>
      <c r="T8" s="23">
        <v>150198</v>
      </c>
      <c r="U8" s="28">
        <v>10000</v>
      </c>
    </row>
    <row r="9" spans="1:21" x14ac:dyDescent="0.25">
      <c r="A9">
        <v>36</v>
      </c>
      <c r="B9" s="11" t="s">
        <v>36</v>
      </c>
      <c r="C9" s="11" t="s">
        <v>56</v>
      </c>
      <c r="D9" s="4" t="s">
        <v>54</v>
      </c>
      <c r="E9" s="35">
        <f>SUM(Tabel13[[#This Row],[2023]]+Tabel13[[#This Row],[2024 lisanduv]])</f>
        <v>140000</v>
      </c>
      <c r="F9" s="32">
        <f>SUM(Tabel13[[#This Row],[Inv.
(15)]:[Maj.kulu
(55) ]])</f>
        <v>0</v>
      </c>
      <c r="G9" s="32">
        <f>SUM(Tabel13[[#This Row],[Inv.
(15)2]:[Maj.kulu
(55) 2]])</f>
        <v>0</v>
      </c>
      <c r="H9" s="32">
        <f>SUM(Tabel13[[#This Row],[Inv.
(15)3]:[Maj.kulu
(55) 3]])</f>
        <v>140000</v>
      </c>
      <c r="I9" s="32">
        <f>SUM(Tabel13[[#This Row],[Inv.
(15)4]:[Maj.kulu
(55) 4]])</f>
        <v>140000</v>
      </c>
      <c r="J9" s="27">
        <v>0</v>
      </c>
      <c r="K9" s="23">
        <v>0</v>
      </c>
      <c r="L9" s="28">
        <v>0</v>
      </c>
      <c r="M9" s="27">
        <v>0</v>
      </c>
      <c r="N9" s="23">
        <v>0</v>
      </c>
      <c r="O9" s="28">
        <v>0</v>
      </c>
      <c r="P9" s="27">
        <v>0</v>
      </c>
      <c r="Q9" s="23">
        <v>100000</v>
      </c>
      <c r="R9" s="28">
        <v>40000</v>
      </c>
      <c r="S9" s="27">
        <v>0</v>
      </c>
      <c r="T9" s="23">
        <v>100000</v>
      </c>
      <c r="U9" s="28">
        <v>40000</v>
      </c>
    </row>
    <row r="10" spans="1:21" x14ac:dyDescent="0.25">
      <c r="A10">
        <v>37</v>
      </c>
      <c r="B10" s="11" t="s">
        <v>36</v>
      </c>
      <c r="C10" s="11" t="s">
        <v>25</v>
      </c>
      <c r="D10" s="4" t="s">
        <v>59</v>
      </c>
      <c r="E10" s="35">
        <f>SUM(Tabel13[[#This Row],[2023]]+Tabel13[[#This Row],[2024 lisanduv]])</f>
        <v>447000</v>
      </c>
      <c r="F10" s="32">
        <f>SUM(Tabel13[[#This Row],[Inv.
(15)]:[Maj.kulu
(55) ]])</f>
        <v>447000</v>
      </c>
      <c r="G10" s="32">
        <f>SUM(Tabel13[[#This Row],[Inv.
(15)2]:[Maj.kulu
(55) 2]])</f>
        <v>447000</v>
      </c>
      <c r="H10" s="32">
        <f>SUM(Tabel13[[#This Row],[Inv.
(15)3]:[Maj.kulu
(55) 3]])</f>
        <v>0</v>
      </c>
      <c r="I10" s="32">
        <f>SUM(Tabel13[[#This Row],[Inv.
(15)4]:[Maj.kulu
(55) 4]])</f>
        <v>447000</v>
      </c>
      <c r="J10" s="27">
        <v>447000</v>
      </c>
      <c r="K10" s="22">
        <v>0</v>
      </c>
      <c r="L10" s="29">
        <v>0</v>
      </c>
      <c r="M10" s="27">
        <v>447000</v>
      </c>
      <c r="N10" s="22">
        <v>0</v>
      </c>
      <c r="O10" s="29">
        <v>0</v>
      </c>
      <c r="P10" s="27">
        <v>0</v>
      </c>
      <c r="Q10" s="22">
        <v>0</v>
      </c>
      <c r="R10" s="29">
        <v>0</v>
      </c>
      <c r="S10" s="27">
        <v>447000</v>
      </c>
      <c r="T10" s="22">
        <v>0</v>
      </c>
      <c r="U10" s="29">
        <v>0</v>
      </c>
    </row>
    <row r="11" spans="1:21" x14ac:dyDescent="0.25">
      <c r="A11">
        <v>38</v>
      </c>
      <c r="B11" s="11" t="s">
        <v>36</v>
      </c>
      <c r="C11" s="11" t="s">
        <v>25</v>
      </c>
      <c r="D11" s="4" t="s">
        <v>60</v>
      </c>
      <c r="E11" s="35">
        <f>SUM(Tabel13[[#This Row],[2023]]+Tabel13[[#This Row],[2024 lisanduv]])</f>
        <v>464200</v>
      </c>
      <c r="F11" s="32">
        <f>SUM(Tabel13[[#This Row],[Inv.
(15)]:[Maj.kulu
(55) ]])</f>
        <v>464200</v>
      </c>
      <c r="G11" s="32">
        <f>SUM(Tabel13[[#This Row],[Inv.
(15)2]:[Maj.kulu
(55) 2]])</f>
        <v>464200</v>
      </c>
      <c r="H11" s="32">
        <f>SUM(Tabel13[[#This Row],[Inv.
(15)3]:[Maj.kulu
(55) 3]])</f>
        <v>0</v>
      </c>
      <c r="I11" s="32">
        <f>SUM(Tabel13[[#This Row],[Inv.
(15)4]:[Maj.kulu
(55) 4]])</f>
        <v>464200</v>
      </c>
      <c r="J11" s="27">
        <v>0</v>
      </c>
      <c r="K11" s="22">
        <v>464200</v>
      </c>
      <c r="L11" s="29">
        <v>0</v>
      </c>
      <c r="M11" s="27">
        <v>0</v>
      </c>
      <c r="N11" s="22">
        <v>464200</v>
      </c>
      <c r="O11" s="29">
        <v>0</v>
      </c>
      <c r="P11" s="27">
        <v>0</v>
      </c>
      <c r="Q11" s="22">
        <v>0</v>
      </c>
      <c r="R11" s="29">
        <v>0</v>
      </c>
      <c r="S11" s="27">
        <v>0</v>
      </c>
      <c r="T11" s="22">
        <v>464200</v>
      </c>
      <c r="U11" s="29">
        <v>0</v>
      </c>
    </row>
    <row r="12" spans="1:21" x14ac:dyDescent="0.25">
      <c r="A12">
        <v>39</v>
      </c>
      <c r="B12" s="11" t="s">
        <v>36</v>
      </c>
      <c r="C12" s="11" t="s">
        <v>25</v>
      </c>
      <c r="D12" s="4" t="s">
        <v>61</v>
      </c>
      <c r="E12" s="35">
        <f>SUM(Tabel13[[#This Row],[2023]]+Tabel13[[#This Row],[2024 lisanduv]])</f>
        <v>116875</v>
      </c>
      <c r="F12" s="32">
        <f>SUM(Tabel13[[#This Row],[Inv.
(15)]:[Maj.kulu
(55) ]])</f>
        <v>116875</v>
      </c>
      <c r="G12" s="32">
        <f>SUM(Tabel13[[#This Row],[Inv.
(15)2]:[Maj.kulu
(55) 2]])</f>
        <v>116875</v>
      </c>
      <c r="H12" s="32">
        <f>SUM(Tabel13[[#This Row],[Inv.
(15)3]:[Maj.kulu
(55) 3]])</f>
        <v>0</v>
      </c>
      <c r="I12" s="32">
        <f>SUM(Tabel13[[#This Row],[Inv.
(15)4]:[Maj.kulu
(55) 4]])</f>
        <v>116875</v>
      </c>
      <c r="J12" s="27"/>
      <c r="K12" s="22"/>
      <c r="L12" s="22">
        <v>116875</v>
      </c>
      <c r="M12" s="27"/>
      <c r="N12" s="22"/>
      <c r="O12" s="22">
        <v>116875</v>
      </c>
      <c r="P12" s="27"/>
      <c r="Q12" s="22"/>
      <c r="R12" s="22"/>
      <c r="S12" s="27">
        <v>0</v>
      </c>
      <c r="T12" s="22">
        <v>0</v>
      </c>
      <c r="U12" s="22">
        <v>116875</v>
      </c>
    </row>
    <row r="13" spans="1:21" x14ac:dyDescent="0.25">
      <c r="A13">
        <v>39</v>
      </c>
      <c r="B13" s="11" t="s">
        <v>35</v>
      </c>
      <c r="C13" s="11" t="s">
        <v>81</v>
      </c>
      <c r="D13" s="4" t="s">
        <v>82</v>
      </c>
      <c r="E13" s="35">
        <f>SUM(Tabel13[[#This Row],[2023]]+Tabel13[[#This Row],[2024 lisanduv]])</f>
        <v>315098</v>
      </c>
      <c r="F13" s="32">
        <f>SUM(Tabel13[[#This Row],[Inv.
(15)]:[Maj.kulu
(55) ]])</f>
        <v>116000</v>
      </c>
      <c r="G13" s="32">
        <f>SUM(Tabel13[[#This Row],[Inv.
(15)2]:[Maj.kulu
(55) 2]])</f>
        <v>902</v>
      </c>
      <c r="H13" s="32">
        <f>SUM(Tabel13[[#This Row],[Inv.
(15)3]:[Maj.kulu
(55) 3]])</f>
        <v>199098</v>
      </c>
      <c r="I13" s="32">
        <f>SUM(Tabel13[[#This Row],[Inv.
(15)4]:[Maj.kulu
(55) 4]])</f>
        <v>200000</v>
      </c>
      <c r="J13" s="27">
        <v>97000</v>
      </c>
      <c r="K13" s="22">
        <v>19000</v>
      </c>
      <c r="L13" s="29">
        <v>0</v>
      </c>
      <c r="M13" s="27">
        <v>97000</v>
      </c>
      <c r="N13" s="22">
        <v>5960</v>
      </c>
      <c r="O13" s="29">
        <v>-102058</v>
      </c>
      <c r="P13" s="27">
        <v>-97000</v>
      </c>
      <c r="Q13" s="22">
        <v>-5960</v>
      </c>
      <c r="R13" s="29">
        <v>302058</v>
      </c>
      <c r="S13" s="27">
        <v>0</v>
      </c>
      <c r="T13" s="22">
        <v>0</v>
      </c>
      <c r="U13" s="29">
        <v>200000</v>
      </c>
    </row>
    <row r="14" spans="1:21" x14ac:dyDescent="0.25">
      <c r="A14">
        <v>40</v>
      </c>
      <c r="B14" s="11" t="s">
        <v>35</v>
      </c>
      <c r="C14" s="11" t="s">
        <v>81</v>
      </c>
      <c r="D14" s="4" t="s">
        <v>83</v>
      </c>
      <c r="E14" s="35">
        <f>SUM(Tabel13[[#This Row],[2023]]+Tabel13[[#This Row],[2024 lisanduv]])</f>
        <v>504759</v>
      </c>
      <c r="F14" s="32">
        <f>SUM(Tabel13[[#This Row],[Inv.
(15)]:[Maj.kulu
(55) ]])</f>
        <v>72033</v>
      </c>
      <c r="G14" s="32">
        <f>SUM(Tabel13[[#This Row],[Inv.
(15)2]:[Maj.kulu
(55) 2]])</f>
        <v>42474</v>
      </c>
      <c r="H14" s="32">
        <f>SUM(Tabel13[[#This Row],[Inv.
(15)3]:[Maj.kulu
(55) 3]])</f>
        <v>432726</v>
      </c>
      <c r="I14" s="32">
        <f>SUM(Tabel13[[#This Row],[Inv.
(15)4]:[Maj.kulu
(55) 4]])</f>
        <v>475200</v>
      </c>
      <c r="J14" s="27">
        <v>56833</v>
      </c>
      <c r="K14" s="22">
        <v>15200</v>
      </c>
      <c r="L14" s="29">
        <v>0</v>
      </c>
      <c r="M14" s="27">
        <v>50689</v>
      </c>
      <c r="N14" s="22">
        <v>-8215</v>
      </c>
      <c r="O14" s="29">
        <v>0</v>
      </c>
      <c r="P14" s="27">
        <v>379511</v>
      </c>
      <c r="Q14" s="22">
        <v>53215</v>
      </c>
      <c r="R14" s="29">
        <v>0</v>
      </c>
      <c r="S14" s="27">
        <v>430200</v>
      </c>
      <c r="T14" s="22">
        <v>45000</v>
      </c>
      <c r="U14" s="29">
        <v>0</v>
      </c>
    </row>
    <row r="15" spans="1:21" x14ac:dyDescent="0.25">
      <c r="A15">
        <v>41</v>
      </c>
      <c r="B15" s="11" t="s">
        <v>35</v>
      </c>
      <c r="C15" s="11" t="s">
        <v>81</v>
      </c>
      <c r="D15" s="4" t="s">
        <v>84</v>
      </c>
      <c r="E15" s="35">
        <f>SUM(Tabel13[[#This Row],[2023]]+Tabel13[[#This Row],[2024 lisanduv]])</f>
        <v>195800</v>
      </c>
      <c r="F15" s="32">
        <f>SUM(Tabel13[[#This Row],[Inv.
(15)]:[Maj.kulu
(55) ]])</f>
        <v>35000</v>
      </c>
      <c r="G15" s="32">
        <f>SUM(Tabel13[[#This Row],[Inv.
(15)2]:[Maj.kulu
(55) 2]])</f>
        <v>35000</v>
      </c>
      <c r="H15" s="32">
        <f>SUM(Tabel13[[#This Row],[Inv.
(15)3]:[Maj.kulu
(55) 3]])</f>
        <v>160800</v>
      </c>
      <c r="I15" s="32">
        <f>SUM(Tabel13[[#This Row],[Inv.
(15)4]:[Maj.kulu
(55) 4]])</f>
        <v>195800</v>
      </c>
      <c r="J15" s="27">
        <v>35000</v>
      </c>
      <c r="K15" s="22">
        <v>0</v>
      </c>
      <c r="L15" s="29">
        <v>0</v>
      </c>
      <c r="M15" s="27">
        <v>35000</v>
      </c>
      <c r="N15" s="22">
        <v>0</v>
      </c>
      <c r="O15" s="29">
        <v>0</v>
      </c>
      <c r="P15" s="27">
        <v>160800</v>
      </c>
      <c r="Q15" s="22">
        <v>0</v>
      </c>
      <c r="R15" s="29">
        <v>0</v>
      </c>
      <c r="S15" s="27">
        <v>195800</v>
      </c>
      <c r="T15" s="22">
        <v>0</v>
      </c>
      <c r="U15" s="29">
        <v>0</v>
      </c>
    </row>
    <row r="16" spans="1:21" x14ac:dyDescent="0.25">
      <c r="A16">
        <v>42</v>
      </c>
      <c r="B16" s="11" t="s">
        <v>35</v>
      </c>
      <c r="C16" s="11" t="s">
        <v>81</v>
      </c>
      <c r="D16" s="4" t="s">
        <v>85</v>
      </c>
      <c r="E16" s="35">
        <f>SUM(Tabel13[[#This Row],[2023]]+Tabel13[[#This Row],[2024 lisanduv]])</f>
        <v>560542</v>
      </c>
      <c r="F16" s="32">
        <f>SUM(Tabel13[[#This Row],[Inv.
(15)]:[Maj.kulu
(55) ]])</f>
        <v>15200</v>
      </c>
      <c r="G16" s="32">
        <f>SUM(Tabel13[[#This Row],[Inv.
(15)2]:[Maj.kulu
(55) 2]])</f>
        <v>-342</v>
      </c>
      <c r="H16" s="32">
        <f>SUM(Tabel13[[#This Row],[Inv.
(15)3]:[Maj.kulu
(55) 3]])</f>
        <v>545342</v>
      </c>
      <c r="I16" s="32">
        <f>SUM(Tabel13[[#This Row],[Inv.
(15)4]:[Maj.kulu
(55) 4]])</f>
        <v>545000</v>
      </c>
      <c r="J16" s="27">
        <v>0</v>
      </c>
      <c r="K16" s="22">
        <v>15200</v>
      </c>
      <c r="L16" s="29">
        <v>0</v>
      </c>
      <c r="M16" s="27">
        <v>0</v>
      </c>
      <c r="N16" s="22">
        <v>-342</v>
      </c>
      <c r="O16" s="29">
        <v>0</v>
      </c>
      <c r="P16" s="27">
        <v>500000</v>
      </c>
      <c r="Q16" s="22">
        <v>45342</v>
      </c>
      <c r="R16" s="29">
        <v>0</v>
      </c>
      <c r="S16" s="27">
        <v>500000</v>
      </c>
      <c r="T16" s="22">
        <v>45000</v>
      </c>
      <c r="U16" s="29">
        <v>0</v>
      </c>
    </row>
    <row r="17" spans="1:21" x14ac:dyDescent="0.25">
      <c r="A17">
        <v>43</v>
      </c>
      <c r="B17" s="11" t="s">
        <v>35</v>
      </c>
      <c r="C17" s="11" t="s">
        <v>81</v>
      </c>
      <c r="D17" s="4" t="s">
        <v>86</v>
      </c>
      <c r="E17" s="35">
        <f>SUM(Tabel13[[#This Row],[2023]]+Tabel13[[#This Row],[2024 lisanduv]])</f>
        <v>314277</v>
      </c>
      <c r="F17" s="32">
        <f>SUM(Tabel13[[#This Row],[Inv.
(15)]:[Maj.kulu
(55) ]])</f>
        <v>200000</v>
      </c>
      <c r="G17" s="32">
        <f>SUM(Tabel13[[#This Row],[Inv.
(15)2]:[Maj.kulu
(55) 2]])</f>
        <v>45723</v>
      </c>
      <c r="H17" s="32">
        <f>SUM(Tabel13[[#This Row],[Inv.
(15)3]:[Maj.kulu
(55) 3]])</f>
        <v>114277</v>
      </c>
      <c r="I17" s="32">
        <f>SUM(Tabel13[[#This Row],[Inv.
(15)4]:[Maj.kulu
(55) 4]])</f>
        <v>160000</v>
      </c>
      <c r="J17" s="27">
        <v>200000</v>
      </c>
      <c r="K17" s="22">
        <v>0</v>
      </c>
      <c r="L17" s="29">
        <v>0</v>
      </c>
      <c r="M17" s="27">
        <v>45723</v>
      </c>
      <c r="N17" s="22">
        <v>0</v>
      </c>
      <c r="O17" s="29">
        <v>0</v>
      </c>
      <c r="P17" s="27">
        <v>114277</v>
      </c>
      <c r="Q17" s="22">
        <v>0</v>
      </c>
      <c r="R17" s="29">
        <v>0</v>
      </c>
      <c r="S17" s="27">
        <v>160000</v>
      </c>
      <c r="T17" s="22">
        <v>0</v>
      </c>
      <c r="U17" s="29">
        <v>0</v>
      </c>
    </row>
    <row r="18" spans="1:21" x14ac:dyDescent="0.25">
      <c r="A18">
        <v>44</v>
      </c>
      <c r="B18" s="11" t="s">
        <v>35</v>
      </c>
      <c r="C18" s="11" t="s">
        <v>81</v>
      </c>
      <c r="D18" s="4" t="s">
        <v>87</v>
      </c>
      <c r="E18" s="35">
        <f>SUM(Tabel13[[#This Row],[2023]]+Tabel13[[#This Row],[2024 lisanduv]])</f>
        <v>30000</v>
      </c>
      <c r="F18" s="32">
        <f>SUM(Tabel13[[#This Row],[Inv.
(15)]:[Maj.kulu
(55) ]])</f>
        <v>10000</v>
      </c>
      <c r="G18" s="32">
        <f>SUM(Tabel13[[#This Row],[Inv.
(15)2]:[Maj.kulu
(55) 2]])</f>
        <v>10000</v>
      </c>
      <c r="H18" s="32">
        <f>SUM(Tabel13[[#This Row],[Inv.
(15)3]:[Maj.kulu
(55) 3]])</f>
        <v>20000</v>
      </c>
      <c r="I18" s="32">
        <f>SUM(Tabel13[[#This Row],[Inv.
(15)4]:[Maj.kulu
(55) 4]])</f>
        <v>30000</v>
      </c>
      <c r="J18" s="27">
        <v>0</v>
      </c>
      <c r="K18" s="22">
        <v>0</v>
      </c>
      <c r="L18" s="29">
        <v>10000</v>
      </c>
      <c r="M18" s="27">
        <v>0</v>
      </c>
      <c r="N18" s="22">
        <v>0</v>
      </c>
      <c r="O18" s="29">
        <v>10000</v>
      </c>
      <c r="P18" s="27">
        <v>0</v>
      </c>
      <c r="Q18" s="22">
        <v>0</v>
      </c>
      <c r="R18" s="29">
        <v>20000</v>
      </c>
      <c r="S18" s="27">
        <v>0</v>
      </c>
      <c r="T18" s="22">
        <v>0</v>
      </c>
      <c r="U18" s="29">
        <v>30000</v>
      </c>
    </row>
    <row r="19" spans="1:21" x14ac:dyDescent="0.25">
      <c r="A19">
        <v>45</v>
      </c>
      <c r="B19" s="11" t="s">
        <v>35</v>
      </c>
      <c r="C19" s="11" t="s">
        <v>92</v>
      </c>
      <c r="D19" s="4" t="s">
        <v>90</v>
      </c>
      <c r="E19" s="35">
        <f>SUM(Tabel13[[#This Row],[2023]]+Tabel13[[#This Row],[2024 lisanduv]])</f>
        <v>1012899</v>
      </c>
      <c r="F19" s="32">
        <f>SUM(Tabel13[[#This Row],[Inv.
(15)]:[Maj.kulu
(55) ]])</f>
        <v>629000</v>
      </c>
      <c r="G19" s="32">
        <f>SUM(Tabel13[[#This Row],[Inv.
(15)2]:[Maj.kulu
(55) 2]])</f>
        <v>616101</v>
      </c>
      <c r="H19" s="32">
        <f>SUM(Tabel13[[#This Row],[Inv.
(15)3]:[Maj.kulu
(55) 3]])</f>
        <v>383899</v>
      </c>
      <c r="I19" s="32">
        <f>SUM(Tabel13[[#This Row],[Inv.
(15)4]:[Maj.kulu
(55) 4]])</f>
        <v>1000000</v>
      </c>
      <c r="J19" s="27">
        <v>440000</v>
      </c>
      <c r="K19" s="22">
        <v>0</v>
      </c>
      <c r="L19" s="29">
        <v>189000</v>
      </c>
      <c r="M19" s="27">
        <v>427101</v>
      </c>
      <c r="N19" s="22">
        <v>0</v>
      </c>
      <c r="O19" s="29">
        <v>189000</v>
      </c>
      <c r="P19" s="27">
        <v>572899</v>
      </c>
      <c r="Q19" s="22">
        <v>0</v>
      </c>
      <c r="R19" s="29">
        <v>-189000</v>
      </c>
      <c r="S19" s="27">
        <v>1000000</v>
      </c>
      <c r="T19" s="22">
        <v>0</v>
      </c>
      <c r="U19" s="29">
        <v>0</v>
      </c>
    </row>
    <row r="20" spans="1:21" x14ac:dyDescent="0.25">
      <c r="A20">
        <v>46</v>
      </c>
      <c r="B20" s="11" t="s">
        <v>35</v>
      </c>
      <c r="C20" s="11" t="s">
        <v>92</v>
      </c>
      <c r="D20" s="4" t="s">
        <v>91</v>
      </c>
      <c r="E20" s="35">
        <f>SUM(Tabel13[[#This Row],[2023]]+Tabel13[[#This Row],[2024 lisanduv]])</f>
        <v>50000</v>
      </c>
      <c r="F20" s="32">
        <f>SUM(Tabel13[[#This Row],[Inv.
(15)]:[Maj.kulu
(55) ]])</f>
        <v>0</v>
      </c>
      <c r="G20" s="32">
        <f>SUM(Tabel13[[#This Row],[Inv.
(15)2]:[Maj.kulu
(55) 2]])</f>
        <v>0</v>
      </c>
      <c r="H20" s="32">
        <f>SUM(Tabel13[[#This Row],[Inv.
(15)3]:[Maj.kulu
(55) 3]])</f>
        <v>50000</v>
      </c>
      <c r="I20" s="32">
        <f>SUM(Tabel13[[#This Row],[Inv.
(15)4]:[Maj.kulu
(55) 4]])</f>
        <v>50000</v>
      </c>
      <c r="J20" s="27">
        <v>0</v>
      </c>
      <c r="K20" s="22">
        <v>0</v>
      </c>
      <c r="L20" s="29">
        <v>0</v>
      </c>
      <c r="M20" s="27">
        <v>0</v>
      </c>
      <c r="N20" s="22">
        <v>0</v>
      </c>
      <c r="O20" s="29">
        <v>0</v>
      </c>
      <c r="P20" s="27">
        <v>50000</v>
      </c>
      <c r="Q20" s="22">
        <v>0</v>
      </c>
      <c r="R20" s="29">
        <v>0</v>
      </c>
      <c r="S20" s="27">
        <v>50000</v>
      </c>
      <c r="T20" s="22">
        <v>0</v>
      </c>
      <c r="U20" s="29">
        <v>0</v>
      </c>
    </row>
    <row r="21" spans="1:21" x14ac:dyDescent="0.25">
      <c r="A21">
        <v>47</v>
      </c>
      <c r="B21" s="11" t="s">
        <v>35</v>
      </c>
      <c r="C21" s="11" t="s">
        <v>93</v>
      </c>
      <c r="D21" s="4" t="s">
        <v>24</v>
      </c>
      <c r="E21" s="35">
        <f>SUM(Tabel13[[#This Row],[2023]]+Tabel13[[#This Row],[2024 lisanduv]])</f>
        <v>341052</v>
      </c>
      <c r="F21" s="32">
        <f>SUM(Tabel13[[#This Row],[Inv.
(15)]:[Maj.kulu
(55) ]])</f>
        <v>0</v>
      </c>
      <c r="G21" s="32">
        <f>SUM(Tabel13[[#This Row],[Inv.
(15)2]:[Maj.kulu
(55) 2]])</f>
        <v>0</v>
      </c>
      <c r="H21" s="32">
        <f>SUM(Tabel13[[#This Row],[Inv.
(15)3]:[Maj.kulu
(55) 3]])</f>
        <v>341052</v>
      </c>
      <c r="I21" s="32">
        <f>SUM(Tabel13[[#This Row],[Inv.
(15)4]:[Maj.kulu
(55) 4]])</f>
        <v>341052</v>
      </c>
      <c r="J21" s="27">
        <v>0</v>
      </c>
      <c r="K21" s="22">
        <v>0</v>
      </c>
      <c r="L21" s="29">
        <v>0</v>
      </c>
      <c r="M21" s="27">
        <v>0</v>
      </c>
      <c r="N21" s="22">
        <v>0</v>
      </c>
      <c r="O21" s="29">
        <v>0</v>
      </c>
      <c r="P21" s="27">
        <v>261052</v>
      </c>
      <c r="Q21" s="22">
        <v>0</v>
      </c>
      <c r="R21" s="29">
        <v>80000</v>
      </c>
      <c r="S21" s="27">
        <v>261052</v>
      </c>
      <c r="T21" s="22">
        <v>0</v>
      </c>
      <c r="U21" s="29">
        <v>80000</v>
      </c>
    </row>
    <row r="22" spans="1:21" x14ac:dyDescent="0.25">
      <c r="A22">
        <v>48</v>
      </c>
      <c r="B22" s="11" t="s">
        <v>35</v>
      </c>
      <c r="C22" s="11" t="s">
        <v>93</v>
      </c>
      <c r="D22" s="4" t="s">
        <v>94</v>
      </c>
      <c r="E22" s="35">
        <f>SUM(Tabel13[[#This Row],[2023]]+Tabel13[[#This Row],[2024 lisanduv]])</f>
        <v>200000</v>
      </c>
      <c r="F22" s="32">
        <f>SUM(Tabel13[[#This Row],[Inv.
(15)]:[Maj.kulu
(55) ]])</f>
        <v>0</v>
      </c>
      <c r="G22" s="32">
        <f>SUM(Tabel13[[#This Row],[Inv.
(15)2]:[Maj.kulu
(55) 2]])</f>
        <v>0</v>
      </c>
      <c r="H22" s="32">
        <f>SUM(Tabel13[[#This Row],[Inv.
(15)3]:[Maj.kulu
(55) 3]])</f>
        <v>200000</v>
      </c>
      <c r="I22" s="32">
        <f>SUM(Tabel13[[#This Row],[Inv.
(15)4]:[Maj.kulu
(55) 4]])</f>
        <v>200000</v>
      </c>
      <c r="J22" s="27">
        <v>0</v>
      </c>
      <c r="K22" s="22">
        <v>0</v>
      </c>
      <c r="L22" s="29">
        <v>0</v>
      </c>
      <c r="M22" s="27">
        <v>0</v>
      </c>
      <c r="N22" s="22">
        <v>0</v>
      </c>
      <c r="O22" s="29">
        <v>0</v>
      </c>
      <c r="P22" s="27">
        <v>200000</v>
      </c>
      <c r="Q22" s="22">
        <v>0</v>
      </c>
      <c r="R22" s="29">
        <v>0</v>
      </c>
      <c r="S22" s="27">
        <v>200000</v>
      </c>
      <c r="T22" s="22">
        <v>0</v>
      </c>
      <c r="U22" s="29">
        <v>0</v>
      </c>
    </row>
    <row r="23" spans="1:21" x14ac:dyDescent="0.25">
      <c r="A23">
        <v>49</v>
      </c>
      <c r="B23" s="11" t="s">
        <v>35</v>
      </c>
      <c r="C23" s="11" t="s">
        <v>93</v>
      </c>
      <c r="D23" s="4" t="s">
        <v>95</v>
      </c>
      <c r="E23" s="35">
        <f>SUM(Tabel13[[#This Row],[2023]]+Tabel13[[#This Row],[2024 lisanduv]])</f>
        <v>70917</v>
      </c>
      <c r="F23" s="32">
        <f>SUM(Tabel13[[#This Row],[Inv.
(15)]:[Maj.kulu
(55) ]])</f>
        <v>53056</v>
      </c>
      <c r="G23" s="32">
        <f>SUM(Tabel13[[#This Row],[Inv.
(15)2]:[Maj.kulu
(55) 2]])</f>
        <v>53056</v>
      </c>
      <c r="H23" s="32">
        <f>SUM(Tabel13[[#This Row],[Inv.
(15)3]:[Maj.kulu
(55) 3]])</f>
        <v>17861</v>
      </c>
      <c r="I23" s="32">
        <f>SUM(Tabel13[[#This Row],[Inv.
(15)4]:[Maj.kulu
(55) 4]])</f>
        <v>70917</v>
      </c>
      <c r="J23" s="27">
        <v>53056</v>
      </c>
      <c r="K23" s="22">
        <v>0</v>
      </c>
      <c r="L23" s="29">
        <v>0</v>
      </c>
      <c r="M23" s="27">
        <v>53056</v>
      </c>
      <c r="N23" s="22">
        <v>0</v>
      </c>
      <c r="O23" s="29">
        <v>0</v>
      </c>
      <c r="P23" s="27">
        <v>17861</v>
      </c>
      <c r="Q23" s="22">
        <v>0</v>
      </c>
      <c r="R23" s="29">
        <v>0</v>
      </c>
      <c r="S23" s="27">
        <v>70917</v>
      </c>
      <c r="T23" s="22">
        <v>0</v>
      </c>
      <c r="U23" s="29">
        <v>0</v>
      </c>
    </row>
    <row r="24" spans="1:21" x14ac:dyDescent="0.25">
      <c r="A24">
        <v>50</v>
      </c>
      <c r="B24" s="11" t="s">
        <v>35</v>
      </c>
      <c r="C24" s="11" t="s">
        <v>93</v>
      </c>
      <c r="D24" s="4" t="s">
        <v>96</v>
      </c>
      <c r="E24" s="35">
        <f>SUM(Tabel13[[#This Row],[2023]]+Tabel13[[#This Row],[2024 lisanduv]])</f>
        <v>134877</v>
      </c>
      <c r="F24" s="32">
        <f>SUM(Tabel13[[#This Row],[Inv.
(15)]:[Maj.kulu
(55) ]])</f>
        <v>100906</v>
      </c>
      <c r="G24" s="32">
        <f>SUM(Tabel13[[#This Row],[Inv.
(15)2]:[Maj.kulu
(55) 2]])</f>
        <v>100906</v>
      </c>
      <c r="H24" s="32">
        <f>SUM(Tabel13[[#This Row],[Inv.
(15)3]:[Maj.kulu
(55) 3]])</f>
        <v>33971</v>
      </c>
      <c r="I24" s="32">
        <f>SUM(Tabel13[[#This Row],[Inv.
(15)4]:[Maj.kulu
(55) 4]])</f>
        <v>134877</v>
      </c>
      <c r="J24" s="27">
        <v>100906</v>
      </c>
      <c r="K24" s="22">
        <v>0</v>
      </c>
      <c r="L24" s="29">
        <v>0</v>
      </c>
      <c r="M24" s="27">
        <v>100906</v>
      </c>
      <c r="N24" s="22">
        <v>0</v>
      </c>
      <c r="O24" s="29">
        <v>0</v>
      </c>
      <c r="P24" s="27">
        <v>33971</v>
      </c>
      <c r="Q24" s="22">
        <v>0</v>
      </c>
      <c r="R24" s="29">
        <v>0</v>
      </c>
      <c r="S24" s="27">
        <v>134877</v>
      </c>
      <c r="T24" s="22">
        <v>0</v>
      </c>
      <c r="U24" s="29">
        <v>0</v>
      </c>
    </row>
    <row r="25" spans="1:21" x14ac:dyDescent="0.25">
      <c r="A25">
        <v>51</v>
      </c>
      <c r="B25" s="11" t="s">
        <v>35</v>
      </c>
      <c r="C25" s="11" t="s">
        <v>93</v>
      </c>
      <c r="D25" s="4" t="s">
        <v>97</v>
      </c>
      <c r="E25" s="35">
        <f>SUM(Tabel13[[#This Row],[2023]]+Tabel13[[#This Row],[2024 lisanduv]])</f>
        <v>50000</v>
      </c>
      <c r="F25" s="32">
        <f>SUM(Tabel13[[#This Row],[Inv.
(15)]:[Maj.kulu
(55) ]])</f>
        <v>50000</v>
      </c>
      <c r="G25" s="32">
        <f>SUM(Tabel13[[#This Row],[Inv.
(15)2]:[Maj.kulu
(55) 2]])</f>
        <v>50000</v>
      </c>
      <c r="H25" s="32">
        <f>SUM(Tabel13[[#This Row],[Inv.
(15)3]:[Maj.kulu
(55) 3]])</f>
        <v>0</v>
      </c>
      <c r="I25" s="32">
        <f>SUM(Tabel13[[#This Row],[Inv.
(15)4]:[Maj.kulu
(55) 4]])</f>
        <v>50000</v>
      </c>
      <c r="J25" s="27">
        <v>0</v>
      </c>
      <c r="K25" s="22">
        <v>0</v>
      </c>
      <c r="L25" s="29">
        <v>50000</v>
      </c>
      <c r="M25" s="27"/>
      <c r="N25" s="22">
        <v>0</v>
      </c>
      <c r="O25" s="29">
        <v>50000</v>
      </c>
      <c r="P25" s="27">
        <v>0</v>
      </c>
      <c r="Q25" s="22">
        <v>0</v>
      </c>
      <c r="R25" s="29">
        <v>0</v>
      </c>
      <c r="S25" s="27">
        <v>0</v>
      </c>
      <c r="T25" s="22">
        <v>0</v>
      </c>
      <c r="U25" s="29">
        <v>50000</v>
      </c>
    </row>
    <row r="26" spans="1:21" x14ac:dyDescent="0.25">
      <c r="A26">
        <v>52</v>
      </c>
      <c r="B26" s="11" t="s">
        <v>35</v>
      </c>
      <c r="C26" s="11" t="s">
        <v>93</v>
      </c>
      <c r="D26" s="4" t="s">
        <v>98</v>
      </c>
      <c r="E26" s="35">
        <f>SUM(Tabel13[[#This Row],[2023]]+Tabel13[[#This Row],[2024 lisanduv]])</f>
        <v>221786</v>
      </c>
      <c r="F26" s="32">
        <f>SUM(Tabel13[[#This Row],[Inv.
(15)]:[Maj.kulu
(55) ]])</f>
        <v>92571</v>
      </c>
      <c r="G26" s="32">
        <f>SUM(Tabel13[[#This Row],[Inv.
(15)2]:[Maj.kulu
(55) 2]])</f>
        <v>-5480</v>
      </c>
      <c r="H26" s="32">
        <f>SUM(Tabel13[[#This Row],[Inv.
(15)3]:[Maj.kulu
(55) 3]])</f>
        <v>129215</v>
      </c>
      <c r="I26" s="32">
        <f>SUM(Tabel13[[#This Row],[Inv.
(15)4]:[Maj.kulu
(55) 4]])</f>
        <v>123735</v>
      </c>
      <c r="J26" s="27">
        <v>92571</v>
      </c>
      <c r="K26" s="22">
        <v>0</v>
      </c>
      <c r="L26" s="29">
        <v>0</v>
      </c>
      <c r="M26" s="27">
        <v>-5480</v>
      </c>
      <c r="N26" s="22">
        <v>0</v>
      </c>
      <c r="O26" s="29">
        <v>0</v>
      </c>
      <c r="P26" s="27">
        <v>129215</v>
      </c>
      <c r="Q26" s="22">
        <v>0</v>
      </c>
      <c r="R26" s="29">
        <v>0</v>
      </c>
      <c r="S26" s="27">
        <v>123735</v>
      </c>
      <c r="T26" s="22">
        <v>0</v>
      </c>
      <c r="U26" s="29">
        <v>0</v>
      </c>
    </row>
    <row r="27" spans="1:21" x14ac:dyDescent="0.25">
      <c r="A27">
        <v>53</v>
      </c>
      <c r="B27" s="11" t="s">
        <v>35</v>
      </c>
      <c r="C27" s="11" t="s">
        <v>93</v>
      </c>
      <c r="D27" s="4" t="s">
        <v>99</v>
      </c>
      <c r="E27" s="35">
        <f>SUM(Tabel13[[#This Row],[2023]]+Tabel13[[#This Row],[2024 lisanduv]])</f>
        <v>96298</v>
      </c>
      <c r="F27" s="32">
        <f>SUM(Tabel13[[#This Row],[Inv.
(15)]:[Maj.kulu
(55) ]])</f>
        <v>72044</v>
      </c>
      <c r="G27" s="32">
        <f>SUM(Tabel13[[#This Row],[Inv.
(15)2]:[Maj.kulu
(55) 2]])</f>
        <v>72044</v>
      </c>
      <c r="H27" s="32">
        <f>SUM(Tabel13[[#This Row],[Inv.
(15)3]:[Maj.kulu
(55) 3]])</f>
        <v>24254</v>
      </c>
      <c r="I27" s="32">
        <f>SUM(Tabel13[[#This Row],[Inv.
(15)4]:[Maj.kulu
(55) 4]])</f>
        <v>96298</v>
      </c>
      <c r="J27" s="27">
        <v>72044</v>
      </c>
      <c r="K27" s="22">
        <v>0</v>
      </c>
      <c r="L27" s="29">
        <v>0</v>
      </c>
      <c r="M27" s="27">
        <v>72044</v>
      </c>
      <c r="N27" s="22">
        <v>0</v>
      </c>
      <c r="O27" s="29">
        <v>0</v>
      </c>
      <c r="P27" s="27">
        <v>24254</v>
      </c>
      <c r="Q27" s="22">
        <v>0</v>
      </c>
      <c r="R27" s="29">
        <v>0</v>
      </c>
      <c r="S27" s="27">
        <v>96298</v>
      </c>
      <c r="T27" s="22">
        <v>0</v>
      </c>
      <c r="U27" s="29">
        <v>0</v>
      </c>
    </row>
    <row r="28" spans="1:21" x14ac:dyDescent="0.25">
      <c r="A28">
        <v>54</v>
      </c>
      <c r="B28" s="11" t="s">
        <v>35</v>
      </c>
      <c r="C28" s="11" t="s">
        <v>93</v>
      </c>
      <c r="D28" s="4" t="s">
        <v>100</v>
      </c>
      <c r="E28" s="35">
        <f>SUM(Tabel13[[#This Row],[2023]]+Tabel13[[#This Row],[2024 lisanduv]])</f>
        <v>126212</v>
      </c>
      <c r="F28" s="32">
        <f>SUM(Tabel13[[#This Row],[Inv.
(15)]:[Maj.kulu
(55) ]])</f>
        <v>94424</v>
      </c>
      <c r="G28" s="32">
        <f>SUM(Tabel13[[#This Row],[Inv.
(15)2]:[Maj.kulu
(55) 2]])</f>
        <v>94424</v>
      </c>
      <c r="H28" s="32">
        <f>SUM(Tabel13[[#This Row],[Inv.
(15)3]:[Maj.kulu
(55) 3]])</f>
        <v>31788</v>
      </c>
      <c r="I28" s="32">
        <f>SUM(Tabel13[[#This Row],[Inv.
(15)4]:[Maj.kulu
(55) 4]])</f>
        <v>126212</v>
      </c>
      <c r="J28" s="27">
        <v>94424</v>
      </c>
      <c r="K28" s="22">
        <v>0</v>
      </c>
      <c r="L28" s="29">
        <v>0</v>
      </c>
      <c r="M28" s="27">
        <v>94424</v>
      </c>
      <c r="N28" s="22">
        <v>0</v>
      </c>
      <c r="O28" s="29">
        <v>0</v>
      </c>
      <c r="P28" s="27">
        <v>31788</v>
      </c>
      <c r="Q28" s="22">
        <v>0</v>
      </c>
      <c r="R28" s="29">
        <v>0</v>
      </c>
      <c r="S28" s="27">
        <v>126212</v>
      </c>
      <c r="T28" s="22">
        <v>0</v>
      </c>
      <c r="U28" s="29">
        <v>0</v>
      </c>
    </row>
    <row r="29" spans="1:21" x14ac:dyDescent="0.25">
      <c r="A29">
        <v>55</v>
      </c>
      <c r="B29" s="11" t="s">
        <v>35</v>
      </c>
      <c r="C29" s="11" t="s">
        <v>93</v>
      </c>
      <c r="D29" s="4" t="s">
        <v>101</v>
      </c>
      <c r="E29" s="35">
        <f>SUM(Tabel13[[#This Row],[2023]]+Tabel13[[#This Row],[2024 lisanduv]])</f>
        <v>64435</v>
      </c>
      <c r="F29" s="32">
        <f>SUM(Tabel13[[#This Row],[Inv.
(15)]:[Maj.kulu
(55) ]])</f>
        <v>48206</v>
      </c>
      <c r="G29" s="32">
        <f>SUM(Tabel13[[#This Row],[Inv.
(15)2]:[Maj.kulu
(55) 2]])</f>
        <v>48206</v>
      </c>
      <c r="H29" s="32">
        <f>SUM(Tabel13[[#This Row],[Inv.
(15)3]:[Maj.kulu
(55) 3]])</f>
        <v>16229</v>
      </c>
      <c r="I29" s="32">
        <f>SUM(Tabel13[[#This Row],[Inv.
(15)4]:[Maj.kulu
(55) 4]])</f>
        <v>64435</v>
      </c>
      <c r="J29" s="27">
        <v>48206</v>
      </c>
      <c r="K29" s="22">
        <v>0</v>
      </c>
      <c r="L29" s="29">
        <v>0</v>
      </c>
      <c r="M29" s="27">
        <v>48206</v>
      </c>
      <c r="N29" s="22">
        <v>0</v>
      </c>
      <c r="O29" s="29">
        <v>0</v>
      </c>
      <c r="P29" s="27">
        <v>16229</v>
      </c>
      <c r="Q29" s="22">
        <v>0</v>
      </c>
      <c r="R29" s="29">
        <v>0</v>
      </c>
      <c r="S29" s="27">
        <v>64435</v>
      </c>
      <c r="T29" s="22">
        <v>0</v>
      </c>
      <c r="U29" s="29">
        <v>0</v>
      </c>
    </row>
    <row r="30" spans="1:21" x14ac:dyDescent="0.25">
      <c r="A30">
        <v>56</v>
      </c>
      <c r="B30" s="11" t="s">
        <v>35</v>
      </c>
      <c r="C30" s="11" t="s">
        <v>93</v>
      </c>
      <c r="D30" s="4" t="s">
        <v>102</v>
      </c>
      <c r="E30" s="35">
        <f>SUM(Tabel13[[#This Row],[2023]]+Tabel13[[#This Row],[2024 lisanduv]])</f>
        <v>106138</v>
      </c>
      <c r="F30" s="32">
        <f>SUM(Tabel13[[#This Row],[Inv.
(15)]:[Maj.kulu
(55) ]])</f>
        <v>79406</v>
      </c>
      <c r="G30" s="32">
        <f>SUM(Tabel13[[#This Row],[Inv.
(15)2]:[Maj.kulu
(55) 2]])</f>
        <v>79406</v>
      </c>
      <c r="H30" s="32">
        <f>SUM(Tabel13[[#This Row],[Inv.
(15)3]:[Maj.kulu
(55) 3]])</f>
        <v>26732</v>
      </c>
      <c r="I30" s="32">
        <f>SUM(Tabel13[[#This Row],[Inv.
(15)4]:[Maj.kulu
(55) 4]])</f>
        <v>106138</v>
      </c>
      <c r="J30" s="27">
        <v>79406</v>
      </c>
      <c r="K30" s="22">
        <v>0</v>
      </c>
      <c r="L30" s="29">
        <v>0</v>
      </c>
      <c r="M30" s="27">
        <v>79406</v>
      </c>
      <c r="N30" s="22">
        <v>0</v>
      </c>
      <c r="O30" s="29">
        <v>0</v>
      </c>
      <c r="P30" s="27">
        <v>26732</v>
      </c>
      <c r="Q30" s="22">
        <v>0</v>
      </c>
      <c r="R30" s="29">
        <v>0</v>
      </c>
      <c r="S30" s="27">
        <v>106138</v>
      </c>
      <c r="T30" s="22">
        <v>0</v>
      </c>
      <c r="U30" s="29">
        <v>0</v>
      </c>
    </row>
    <row r="31" spans="1:21" x14ac:dyDescent="0.25">
      <c r="A31">
        <v>57</v>
      </c>
      <c r="B31" s="11" t="s">
        <v>35</v>
      </c>
      <c r="C31" s="11" t="s">
        <v>93</v>
      </c>
      <c r="D31" s="4" t="s">
        <v>103</v>
      </c>
      <c r="E31" s="35">
        <f>SUM(Tabel13[[#This Row],[2023]]+Tabel13[[#This Row],[2024 lisanduv]])</f>
        <v>71479</v>
      </c>
      <c r="F31" s="32">
        <f>SUM(Tabel13[[#This Row],[Inv.
(15)]:[Maj.kulu
(55) ]])</f>
        <v>53476</v>
      </c>
      <c r="G31" s="32">
        <f>SUM(Tabel13[[#This Row],[Inv.
(15)2]:[Maj.kulu
(55) 2]])</f>
        <v>53476</v>
      </c>
      <c r="H31" s="32">
        <f>SUM(Tabel13[[#This Row],[Inv.
(15)3]:[Maj.kulu
(55) 3]])</f>
        <v>18003</v>
      </c>
      <c r="I31" s="32">
        <f>SUM(Tabel13[[#This Row],[Inv.
(15)4]:[Maj.kulu
(55) 4]])</f>
        <v>71479</v>
      </c>
      <c r="J31" s="27">
        <v>53476</v>
      </c>
      <c r="K31" s="22">
        <v>0</v>
      </c>
      <c r="L31" s="29">
        <v>0</v>
      </c>
      <c r="M31" s="27">
        <v>53476</v>
      </c>
      <c r="N31" s="22">
        <v>0</v>
      </c>
      <c r="O31" s="29">
        <v>0</v>
      </c>
      <c r="P31" s="27">
        <v>18003</v>
      </c>
      <c r="Q31" s="22">
        <v>0</v>
      </c>
      <c r="R31" s="29">
        <v>0</v>
      </c>
      <c r="S31" s="27">
        <v>71479</v>
      </c>
      <c r="T31" s="22">
        <v>0</v>
      </c>
      <c r="U31" s="29">
        <v>0</v>
      </c>
    </row>
    <row r="32" spans="1:21" x14ac:dyDescent="0.25">
      <c r="A32">
        <v>58</v>
      </c>
      <c r="B32" s="11" t="s">
        <v>35</v>
      </c>
      <c r="C32" s="11" t="s">
        <v>93</v>
      </c>
      <c r="D32" s="4" t="s">
        <v>104</v>
      </c>
      <c r="E32" s="35">
        <f>SUM(Tabel13[[#This Row],[2023]]+Tabel13[[#This Row],[2024 lisanduv]])</f>
        <v>127154</v>
      </c>
      <c r="F32" s="32">
        <f>SUM(Tabel13[[#This Row],[Inv.
(15)]:[Maj.kulu
(55) ]])</f>
        <v>95129</v>
      </c>
      <c r="G32" s="32">
        <f>SUM(Tabel13[[#This Row],[Inv.
(15)2]:[Maj.kulu
(55) 2]])</f>
        <v>95129</v>
      </c>
      <c r="H32" s="32">
        <f>SUM(Tabel13[[#This Row],[Inv.
(15)3]:[Maj.kulu
(55) 3]])</f>
        <v>32025</v>
      </c>
      <c r="I32" s="32">
        <f>SUM(Tabel13[[#This Row],[Inv.
(15)4]:[Maj.kulu
(55) 4]])</f>
        <v>127154</v>
      </c>
      <c r="J32" s="27">
        <v>95129</v>
      </c>
      <c r="K32" s="22">
        <v>0</v>
      </c>
      <c r="L32" s="29">
        <v>0</v>
      </c>
      <c r="M32" s="27">
        <v>95129</v>
      </c>
      <c r="N32" s="22">
        <v>0</v>
      </c>
      <c r="O32" s="29">
        <v>0</v>
      </c>
      <c r="P32" s="27">
        <v>32025</v>
      </c>
      <c r="Q32" s="22">
        <v>0</v>
      </c>
      <c r="R32" s="29">
        <v>0</v>
      </c>
      <c r="S32" s="27">
        <v>127154</v>
      </c>
      <c r="T32" s="22">
        <v>0</v>
      </c>
      <c r="U32" s="29">
        <v>0</v>
      </c>
    </row>
    <row r="33" spans="1:21" x14ac:dyDescent="0.25">
      <c r="A33">
        <v>59</v>
      </c>
      <c r="B33" s="11" t="s">
        <v>35</v>
      </c>
      <c r="C33" s="11" t="s">
        <v>93</v>
      </c>
      <c r="D33" s="4" t="s">
        <v>105</v>
      </c>
      <c r="E33" s="35">
        <f>SUM(Tabel13[[#This Row],[2023]]+Tabel13[[#This Row],[2024 lisanduv]])</f>
        <v>81246</v>
      </c>
      <c r="F33" s="32">
        <f>SUM(Tabel13[[#This Row],[Inv.
(15)]:[Maj.kulu
(55) ]])</f>
        <v>60783</v>
      </c>
      <c r="G33" s="32">
        <f>SUM(Tabel13[[#This Row],[Inv.
(15)2]:[Maj.kulu
(55) 2]])</f>
        <v>60783</v>
      </c>
      <c r="H33" s="32">
        <f>SUM(Tabel13[[#This Row],[Inv.
(15)3]:[Maj.kulu
(55) 3]])</f>
        <v>20463</v>
      </c>
      <c r="I33" s="32">
        <f>SUM(Tabel13[[#This Row],[Inv.
(15)4]:[Maj.kulu
(55) 4]])</f>
        <v>81246</v>
      </c>
      <c r="J33" s="27">
        <v>60783</v>
      </c>
      <c r="K33" s="22">
        <v>0</v>
      </c>
      <c r="L33" s="29">
        <v>0</v>
      </c>
      <c r="M33" s="27">
        <v>60783</v>
      </c>
      <c r="N33" s="22">
        <v>0</v>
      </c>
      <c r="O33" s="29">
        <v>0</v>
      </c>
      <c r="P33" s="27">
        <v>20463</v>
      </c>
      <c r="Q33" s="22">
        <v>0</v>
      </c>
      <c r="R33" s="29">
        <v>0</v>
      </c>
      <c r="S33" s="27">
        <v>81246</v>
      </c>
      <c r="T33" s="22">
        <v>0</v>
      </c>
      <c r="U33" s="29">
        <v>0</v>
      </c>
    </row>
    <row r="34" spans="1:21" x14ac:dyDescent="0.25">
      <c r="A34">
        <v>60</v>
      </c>
      <c r="B34" s="11" t="s">
        <v>35</v>
      </c>
      <c r="C34" s="11" t="s">
        <v>93</v>
      </c>
      <c r="D34" s="4" t="s">
        <v>116</v>
      </c>
      <c r="E34" s="35">
        <f>SUM(Tabel13[[#This Row],[2023]]+Tabel13[[#This Row],[2024 lisanduv]])</f>
        <v>50000</v>
      </c>
      <c r="F34" s="32">
        <f>SUM(Tabel13[[#This Row],[Inv.
(15)]:[Maj.kulu
(55) ]])</f>
        <v>54189</v>
      </c>
      <c r="G34" s="32">
        <f>SUM(Tabel13[[#This Row],[Inv.
(15)2]:[Maj.kulu
(55) 2]])</f>
        <v>54189</v>
      </c>
      <c r="H34" s="32">
        <f>SUM(Tabel13[[#This Row],[Inv.
(15)3]:[Maj.kulu
(55) 3]])</f>
        <v>-4189</v>
      </c>
      <c r="I34" s="37">
        <f>SUM(Tabel13[[#This Row],[Inv.
(15)4]:[Maj.kulu
(55) 4]])</f>
        <v>50000</v>
      </c>
      <c r="J34" s="23">
        <v>0</v>
      </c>
      <c r="K34" s="22">
        <v>54189</v>
      </c>
      <c r="L34" s="29">
        <v>0</v>
      </c>
      <c r="M34" s="27">
        <v>0</v>
      </c>
      <c r="N34" s="22">
        <v>54189</v>
      </c>
      <c r="O34" s="29">
        <v>0</v>
      </c>
      <c r="P34" s="27">
        <v>0</v>
      </c>
      <c r="Q34" s="22">
        <v>-4189</v>
      </c>
      <c r="R34" s="29">
        <v>0</v>
      </c>
      <c r="S34" s="27">
        <v>0</v>
      </c>
      <c r="T34" s="22">
        <v>50000</v>
      </c>
      <c r="U34" s="29">
        <v>0</v>
      </c>
    </row>
    <row r="35" spans="1:21" x14ac:dyDescent="0.25">
      <c r="A35">
        <v>61</v>
      </c>
      <c r="B35" s="11" t="s">
        <v>35</v>
      </c>
      <c r="C35" s="11" t="s">
        <v>93</v>
      </c>
      <c r="D35" s="4" t="s">
        <v>117</v>
      </c>
      <c r="E35" s="35">
        <f>SUM(Tabel13[[#This Row],[2023]]+Tabel13[[#This Row],[2024 lisanduv]])</f>
        <v>60000</v>
      </c>
      <c r="F35" s="32">
        <f>SUM(Tabel13[[#This Row],[Inv.
(15)]:[Maj.kulu
(55) ]])</f>
        <v>45158</v>
      </c>
      <c r="G35" s="32">
        <f>SUM(Tabel13[[#This Row],[Inv.
(15)2]:[Maj.kulu
(55) 2]])</f>
        <v>45158</v>
      </c>
      <c r="H35" s="32">
        <f>SUM(Tabel13[[#This Row],[Inv.
(15)3]:[Maj.kulu
(55) 3]])</f>
        <v>14842</v>
      </c>
      <c r="I35" s="37">
        <f>SUM(Tabel13[[#This Row],[Inv.
(15)4]:[Maj.kulu
(55) 4]])</f>
        <v>60000</v>
      </c>
      <c r="J35" s="23">
        <v>0</v>
      </c>
      <c r="K35" s="22">
        <v>45158</v>
      </c>
      <c r="L35" s="29">
        <v>0</v>
      </c>
      <c r="M35" s="27">
        <v>0</v>
      </c>
      <c r="N35" s="22">
        <v>45158</v>
      </c>
      <c r="O35" s="29">
        <v>0</v>
      </c>
      <c r="P35" s="27">
        <v>0</v>
      </c>
      <c r="Q35" s="22">
        <v>14842</v>
      </c>
      <c r="R35" s="29">
        <v>0</v>
      </c>
      <c r="S35" s="27">
        <v>0</v>
      </c>
      <c r="T35" s="22">
        <v>60000</v>
      </c>
      <c r="U35" s="29">
        <v>0</v>
      </c>
    </row>
    <row r="36" spans="1:21" x14ac:dyDescent="0.25">
      <c r="A36">
        <v>62</v>
      </c>
      <c r="B36" s="11" t="s">
        <v>106</v>
      </c>
      <c r="C36" s="11" t="s">
        <v>107</v>
      </c>
      <c r="D36" s="4" t="s">
        <v>115</v>
      </c>
      <c r="E36" s="35">
        <f>SUM(Tabel13[[#This Row],[2023]]+Tabel13[[#This Row],[2024 lisanduv]])</f>
        <v>86000</v>
      </c>
      <c r="F36" s="32">
        <f>SUM(Tabel13[[#This Row],[Inv.
(15)]:[Maj.kulu
(55) ]])</f>
        <v>0</v>
      </c>
      <c r="G36" s="32">
        <f>SUM(Tabel13[[#This Row],[Inv.
(15)2]:[Maj.kulu
(55) 2]])</f>
        <v>0</v>
      </c>
      <c r="H36" s="32">
        <f>SUM(Tabel13[[#This Row],[Inv.
(15)3]:[Maj.kulu
(55) 3]])</f>
        <v>86000</v>
      </c>
      <c r="I36" s="37">
        <f>SUM(Tabel13[[#This Row],[Inv.
(15)4]:[Maj.kulu
(55) 4]])</f>
        <v>86000</v>
      </c>
      <c r="J36" s="23">
        <v>0</v>
      </c>
      <c r="K36" s="22">
        <v>0</v>
      </c>
      <c r="L36" s="22">
        <v>0</v>
      </c>
      <c r="M36" s="27">
        <v>0</v>
      </c>
      <c r="N36" s="22">
        <v>0</v>
      </c>
      <c r="O36" s="29">
        <v>0</v>
      </c>
      <c r="P36" s="27">
        <v>86000</v>
      </c>
      <c r="Q36" s="22">
        <v>0</v>
      </c>
      <c r="R36" s="29">
        <v>0</v>
      </c>
      <c r="S36" s="27">
        <v>86000</v>
      </c>
      <c r="T36" s="22">
        <v>0</v>
      </c>
      <c r="U36" s="29">
        <v>0</v>
      </c>
    </row>
    <row r="37" spans="1:21" x14ac:dyDescent="0.25">
      <c r="A37">
        <v>63</v>
      </c>
      <c r="B37" s="11" t="s">
        <v>108</v>
      </c>
      <c r="C37" s="11" t="s">
        <v>107</v>
      </c>
      <c r="D37" s="4" t="s">
        <v>115</v>
      </c>
      <c r="E37" s="35">
        <f>SUM(Tabel13[[#This Row],[2023]]+Tabel13[[#This Row],[2024 lisanduv]])</f>
        <v>194600</v>
      </c>
      <c r="F37" s="32">
        <f>SUM(Tabel13[[#This Row],[Inv.
(15)]:[Maj.kulu
(55) ]])</f>
        <v>0</v>
      </c>
      <c r="G37" s="32">
        <f>SUM(Tabel13[[#This Row],[Inv.
(15)2]:[Maj.kulu
(55) 2]])</f>
        <v>0</v>
      </c>
      <c r="H37" s="32">
        <f>SUM(Tabel13[[#This Row],[Inv.
(15)3]:[Maj.kulu
(55) 3]])</f>
        <v>194600</v>
      </c>
      <c r="I37" s="37">
        <f>SUM(Tabel13[[#This Row],[Inv.
(15)4]:[Maj.kulu
(55) 4]])</f>
        <v>194600</v>
      </c>
      <c r="J37" s="23">
        <v>0</v>
      </c>
      <c r="K37" s="22">
        <v>0</v>
      </c>
      <c r="L37" s="22">
        <v>0</v>
      </c>
      <c r="M37" s="27">
        <v>0</v>
      </c>
      <c r="N37" s="22">
        <v>0</v>
      </c>
      <c r="O37" s="29">
        <v>0</v>
      </c>
      <c r="P37" s="27">
        <v>194600</v>
      </c>
      <c r="Q37" s="22">
        <v>0</v>
      </c>
      <c r="R37" s="29">
        <v>0</v>
      </c>
      <c r="S37" s="27">
        <v>194600</v>
      </c>
      <c r="T37" s="22">
        <v>0</v>
      </c>
      <c r="U37" s="29">
        <v>0</v>
      </c>
    </row>
    <row r="38" spans="1:21" x14ac:dyDescent="0.25">
      <c r="A38">
        <v>64</v>
      </c>
      <c r="B38" s="11" t="s">
        <v>109</v>
      </c>
      <c r="C38" s="11" t="s">
        <v>107</v>
      </c>
      <c r="D38" s="4" t="s">
        <v>115</v>
      </c>
      <c r="E38" s="35">
        <f>SUM(Tabel13[[#This Row],[2023]]+Tabel13[[#This Row],[2024 lisanduv]])</f>
        <v>150000</v>
      </c>
      <c r="F38" s="32">
        <f>SUM(Tabel13[[#This Row],[Inv.
(15)]:[Maj.kulu
(55) ]])</f>
        <v>0</v>
      </c>
      <c r="G38" s="32">
        <f>SUM(Tabel13[[#This Row],[Inv.
(15)2]:[Maj.kulu
(55) 2]])</f>
        <v>0</v>
      </c>
      <c r="H38" s="32">
        <f>SUM(Tabel13[[#This Row],[Inv.
(15)3]:[Maj.kulu
(55) 3]])</f>
        <v>150000</v>
      </c>
      <c r="I38" s="37">
        <f>SUM(Tabel13[[#This Row],[Inv.
(15)4]:[Maj.kulu
(55) 4]])</f>
        <v>150000</v>
      </c>
      <c r="J38" s="23">
        <v>0</v>
      </c>
      <c r="K38" s="22">
        <v>0</v>
      </c>
      <c r="L38" s="22">
        <v>0</v>
      </c>
      <c r="M38" s="27">
        <v>0</v>
      </c>
      <c r="N38" s="22">
        <v>0</v>
      </c>
      <c r="O38" s="29">
        <v>0</v>
      </c>
      <c r="P38" s="27">
        <v>150000</v>
      </c>
      <c r="Q38" s="22">
        <v>0</v>
      </c>
      <c r="R38" s="29">
        <v>0</v>
      </c>
      <c r="S38" s="27">
        <v>150000</v>
      </c>
      <c r="T38" s="22">
        <v>0</v>
      </c>
      <c r="U38" s="29">
        <v>0</v>
      </c>
    </row>
    <row r="39" spans="1:21" x14ac:dyDescent="0.25">
      <c r="A39">
        <v>65</v>
      </c>
      <c r="B39" s="11" t="s">
        <v>110</v>
      </c>
      <c r="C39" s="11" t="s">
        <v>107</v>
      </c>
      <c r="D39" s="4" t="s">
        <v>115</v>
      </c>
      <c r="E39" s="35">
        <f>SUM(Tabel13[[#This Row],[2023]]+Tabel13[[#This Row],[2024 lisanduv]])</f>
        <v>50000</v>
      </c>
      <c r="F39" s="32">
        <f>SUM(Tabel13[[#This Row],[Inv.
(15)]:[Maj.kulu
(55) ]])</f>
        <v>0</v>
      </c>
      <c r="G39" s="32">
        <f>SUM(Tabel13[[#This Row],[Inv.
(15)2]:[Maj.kulu
(55) 2]])</f>
        <v>0</v>
      </c>
      <c r="H39" s="32">
        <f>SUM(Tabel13[[#This Row],[Inv.
(15)3]:[Maj.kulu
(55) 3]])</f>
        <v>50000</v>
      </c>
      <c r="I39" s="37">
        <f>SUM(Tabel13[[#This Row],[Inv.
(15)4]:[Maj.kulu
(55) 4]])</f>
        <v>50000</v>
      </c>
      <c r="J39" s="23">
        <v>0</v>
      </c>
      <c r="K39" s="22">
        <v>0</v>
      </c>
      <c r="L39" s="22">
        <v>0</v>
      </c>
      <c r="M39" s="27">
        <v>0</v>
      </c>
      <c r="N39" s="22">
        <v>0</v>
      </c>
      <c r="O39" s="29">
        <v>0</v>
      </c>
      <c r="P39" s="27">
        <v>50000</v>
      </c>
      <c r="Q39" s="22">
        <v>0</v>
      </c>
      <c r="R39" s="29">
        <v>0</v>
      </c>
      <c r="S39" s="27">
        <v>50000</v>
      </c>
      <c r="T39" s="22">
        <v>0</v>
      </c>
      <c r="U39" s="29">
        <v>0</v>
      </c>
    </row>
    <row r="40" spans="1:21" x14ac:dyDescent="0.25">
      <c r="A40">
        <v>66</v>
      </c>
      <c r="B40" s="11" t="s">
        <v>111</v>
      </c>
      <c r="C40" s="11" t="s">
        <v>107</v>
      </c>
      <c r="D40" s="4" t="s">
        <v>115</v>
      </c>
      <c r="E40" s="35">
        <f>SUM(Tabel13[[#This Row],[2023]]+Tabel13[[#This Row],[2024 lisanduv]])</f>
        <v>500000</v>
      </c>
      <c r="F40" s="32">
        <f>SUM(Tabel13[[#This Row],[Inv.
(15)]:[Maj.kulu
(55) ]])</f>
        <v>0</v>
      </c>
      <c r="G40" s="32">
        <f>SUM(Tabel13[[#This Row],[Inv.
(15)2]:[Maj.kulu
(55) 2]])</f>
        <v>0</v>
      </c>
      <c r="H40" s="32">
        <f>SUM(Tabel13[[#This Row],[Inv.
(15)3]:[Maj.kulu
(55) 3]])</f>
        <v>500000</v>
      </c>
      <c r="I40" s="37">
        <f>SUM(Tabel13[[#This Row],[Inv.
(15)4]:[Maj.kulu
(55) 4]])</f>
        <v>500000</v>
      </c>
      <c r="J40" s="23">
        <v>0</v>
      </c>
      <c r="K40" s="22">
        <v>0</v>
      </c>
      <c r="L40" s="22">
        <v>0</v>
      </c>
      <c r="M40" s="27">
        <v>0</v>
      </c>
      <c r="N40" s="22">
        <v>0</v>
      </c>
      <c r="O40" s="29">
        <v>0</v>
      </c>
      <c r="P40" s="27">
        <v>500000</v>
      </c>
      <c r="Q40" s="22">
        <v>0</v>
      </c>
      <c r="R40" s="29">
        <v>0</v>
      </c>
      <c r="S40" s="27">
        <v>500000</v>
      </c>
      <c r="T40" s="22">
        <v>0</v>
      </c>
      <c r="U40" s="29">
        <v>0</v>
      </c>
    </row>
    <row r="41" spans="1:21" x14ac:dyDescent="0.25">
      <c r="A41">
        <v>67</v>
      </c>
      <c r="B41" s="11" t="s">
        <v>112</v>
      </c>
      <c r="C41" s="11" t="s">
        <v>107</v>
      </c>
      <c r="D41" s="4" t="s">
        <v>115</v>
      </c>
      <c r="E41" s="35">
        <f>SUM(Tabel13[[#This Row],[2023]]+Tabel13[[#This Row],[2024 lisanduv]])</f>
        <v>50000</v>
      </c>
      <c r="F41" s="32">
        <f>SUM(Tabel13[[#This Row],[Inv.
(15)]:[Maj.kulu
(55) ]])</f>
        <v>0</v>
      </c>
      <c r="G41" s="32">
        <f>SUM(Tabel13[[#This Row],[Inv.
(15)2]:[Maj.kulu
(55) 2]])</f>
        <v>0</v>
      </c>
      <c r="H41" s="32">
        <f>SUM(Tabel13[[#This Row],[Inv.
(15)3]:[Maj.kulu
(55) 3]])</f>
        <v>50000</v>
      </c>
      <c r="I41" s="37">
        <f>SUM(Tabel13[[#This Row],[Inv.
(15)4]:[Maj.kulu
(55) 4]])</f>
        <v>50000</v>
      </c>
      <c r="J41" s="23">
        <v>0</v>
      </c>
      <c r="K41" s="22">
        <v>0</v>
      </c>
      <c r="L41" s="22">
        <v>0</v>
      </c>
      <c r="M41" s="27">
        <v>0</v>
      </c>
      <c r="N41" s="22">
        <v>0</v>
      </c>
      <c r="O41" s="29">
        <v>0</v>
      </c>
      <c r="P41" s="27">
        <v>50000</v>
      </c>
      <c r="Q41" s="22">
        <v>0</v>
      </c>
      <c r="R41" s="29">
        <v>0</v>
      </c>
      <c r="S41" s="27">
        <v>50000</v>
      </c>
      <c r="T41" s="22">
        <v>0</v>
      </c>
      <c r="U41" s="29">
        <v>0</v>
      </c>
    </row>
    <row r="42" spans="1:21" x14ac:dyDescent="0.25">
      <c r="A42">
        <v>68</v>
      </c>
      <c r="B42" s="11" t="s">
        <v>113</v>
      </c>
      <c r="C42" s="11" t="s">
        <v>107</v>
      </c>
      <c r="D42" s="4" t="s">
        <v>115</v>
      </c>
      <c r="E42" s="35">
        <f>SUM(Tabel13[[#This Row],[2023]]+Tabel13[[#This Row],[2024 lisanduv]])</f>
        <v>300000</v>
      </c>
      <c r="F42" s="32">
        <f>SUM(Tabel13[[#This Row],[Inv.
(15)]:[Maj.kulu
(55) ]])</f>
        <v>0</v>
      </c>
      <c r="G42" s="32">
        <f>SUM(Tabel13[[#This Row],[Inv.
(15)2]:[Maj.kulu
(55) 2]])</f>
        <v>0</v>
      </c>
      <c r="H42" s="32">
        <f>SUM(Tabel13[[#This Row],[Inv.
(15)3]:[Maj.kulu
(55) 3]])</f>
        <v>300000</v>
      </c>
      <c r="I42" s="37">
        <f>SUM(Tabel13[[#This Row],[Inv.
(15)4]:[Maj.kulu
(55) 4]])</f>
        <v>300000</v>
      </c>
      <c r="J42" s="23">
        <v>0</v>
      </c>
      <c r="K42" s="22">
        <v>0</v>
      </c>
      <c r="L42" s="22">
        <v>0</v>
      </c>
      <c r="M42" s="27">
        <v>0</v>
      </c>
      <c r="N42" s="22">
        <v>0</v>
      </c>
      <c r="O42" s="29">
        <v>0</v>
      </c>
      <c r="P42" s="27">
        <v>300000</v>
      </c>
      <c r="Q42" s="22">
        <v>0</v>
      </c>
      <c r="R42" s="29">
        <v>0</v>
      </c>
      <c r="S42" s="27">
        <v>300000</v>
      </c>
      <c r="T42" s="22">
        <v>0</v>
      </c>
      <c r="U42" s="29">
        <v>0</v>
      </c>
    </row>
    <row r="43" spans="1:21" x14ac:dyDescent="0.25">
      <c r="A43">
        <v>69</v>
      </c>
      <c r="B43" s="11" t="s">
        <v>114</v>
      </c>
      <c r="C43" s="11" t="s">
        <v>107</v>
      </c>
      <c r="D43" s="4" t="s">
        <v>115</v>
      </c>
      <c r="E43" s="35">
        <f>SUM(Tabel13[[#This Row],[2023]]+Tabel13[[#This Row],[2024 lisanduv]])</f>
        <v>165000</v>
      </c>
      <c r="F43" s="32">
        <f>SUM(Tabel13[[#This Row],[Inv.
(15)]:[Maj.kulu
(55) ]])</f>
        <v>0</v>
      </c>
      <c r="G43" s="32">
        <f>SUM(Tabel13[[#This Row],[Inv.
(15)2]:[Maj.kulu
(55) 2]])</f>
        <v>0</v>
      </c>
      <c r="H43" s="32">
        <f>SUM(Tabel13[[#This Row],[Inv.
(15)3]:[Maj.kulu
(55) 3]])</f>
        <v>165000</v>
      </c>
      <c r="I43" s="37">
        <f>SUM(Tabel13[[#This Row],[Inv.
(15)4]:[Maj.kulu
(55) 4]])</f>
        <v>165000</v>
      </c>
      <c r="J43" s="23">
        <v>0</v>
      </c>
      <c r="K43" s="22">
        <v>0</v>
      </c>
      <c r="L43" s="22">
        <v>0</v>
      </c>
      <c r="M43" s="27">
        <v>0</v>
      </c>
      <c r="N43" s="22">
        <v>0</v>
      </c>
      <c r="O43" s="29">
        <v>0</v>
      </c>
      <c r="P43" s="27">
        <v>165000</v>
      </c>
      <c r="Q43" s="22">
        <v>0</v>
      </c>
      <c r="R43" s="29">
        <v>0</v>
      </c>
      <c r="S43" s="27">
        <v>165000</v>
      </c>
      <c r="T43" s="22">
        <v>0</v>
      </c>
      <c r="U43" s="29">
        <v>0</v>
      </c>
    </row>
    <row r="44" spans="1:21" x14ac:dyDescent="0.25">
      <c r="A44">
        <v>70</v>
      </c>
      <c r="B44" s="11" t="s">
        <v>35</v>
      </c>
      <c r="C44" s="11" t="s">
        <v>118</v>
      </c>
      <c r="D44" s="4" t="s">
        <v>119</v>
      </c>
      <c r="E44" s="35">
        <f>SUM(Tabel13[[#This Row],[2023]]+Tabel13[[#This Row],[2024 lisanduv]])</f>
        <v>452500</v>
      </c>
      <c r="F44" s="32">
        <f>SUM(Tabel13[[#This Row],[Inv.
(15)]:[Maj.kulu
(55) ]])</f>
        <v>87500</v>
      </c>
      <c r="G44" s="32">
        <f>SUM(Tabel13[[#This Row],[Inv.
(15)2]:[Maj.kulu
(55) 2]])</f>
        <v>87500</v>
      </c>
      <c r="H44" s="32">
        <f>SUM(Tabel13[[#This Row],[Inv.
(15)3]:[Maj.kulu
(55) 3]])</f>
        <v>365000</v>
      </c>
      <c r="I44" s="37">
        <f>SUM(Tabel13[[#This Row],[Inv.
(15)4]:[Maj.kulu
(55) 4]])</f>
        <v>452500</v>
      </c>
      <c r="J44" s="23">
        <v>87500</v>
      </c>
      <c r="K44" s="22">
        <v>0</v>
      </c>
      <c r="L44" s="22">
        <v>0</v>
      </c>
      <c r="M44" s="27">
        <v>87500</v>
      </c>
      <c r="N44" s="22">
        <v>0</v>
      </c>
      <c r="O44" s="29">
        <v>0</v>
      </c>
      <c r="P44" s="27">
        <v>365000</v>
      </c>
      <c r="Q44" s="22">
        <v>0</v>
      </c>
      <c r="R44" s="29">
        <v>0</v>
      </c>
      <c r="S44" s="27">
        <v>452500</v>
      </c>
      <c r="T44" s="22">
        <v>0</v>
      </c>
      <c r="U44" s="29">
        <v>0</v>
      </c>
    </row>
    <row r="45" spans="1:21" x14ac:dyDescent="0.25">
      <c r="A45">
        <v>71</v>
      </c>
      <c r="B45" s="11" t="s">
        <v>35</v>
      </c>
      <c r="C45" s="11" t="s">
        <v>118</v>
      </c>
      <c r="D45" s="4" t="s">
        <v>120</v>
      </c>
      <c r="E45" s="35">
        <f>SUM(Tabel13[[#This Row],[2023]]+Tabel13[[#This Row],[2024 lisanduv]])</f>
        <v>50000</v>
      </c>
      <c r="F45" s="32">
        <f>SUM(Tabel13[[#This Row],[Inv.
(15)]:[Maj.kulu
(55) ]])</f>
        <v>52300</v>
      </c>
      <c r="G45" s="32">
        <f>SUM(Tabel13[[#This Row],[Inv.
(15)2]:[Maj.kulu
(55) 2]])</f>
        <v>52300</v>
      </c>
      <c r="H45" s="32">
        <f>SUM(Tabel13[[#This Row],[Inv.
(15)3]:[Maj.kulu
(55) 3]])</f>
        <v>-2300</v>
      </c>
      <c r="I45" s="37">
        <f>SUM(Tabel13[[#This Row],[Inv.
(15)4]:[Maj.kulu
(55) 4]])</f>
        <v>50000</v>
      </c>
      <c r="J45" s="23">
        <v>0</v>
      </c>
      <c r="K45" s="22">
        <v>52300</v>
      </c>
      <c r="L45" s="22">
        <v>0</v>
      </c>
      <c r="M45" s="27">
        <v>0</v>
      </c>
      <c r="N45" s="22">
        <v>52300</v>
      </c>
      <c r="O45" s="29">
        <v>0</v>
      </c>
      <c r="P45" s="27">
        <v>0</v>
      </c>
      <c r="Q45" s="22">
        <v>-2300</v>
      </c>
      <c r="R45" s="29">
        <v>0</v>
      </c>
      <c r="S45" s="27">
        <v>0</v>
      </c>
      <c r="T45" s="22">
        <v>50000</v>
      </c>
      <c r="U45" s="29">
        <v>0</v>
      </c>
    </row>
    <row r="46" spans="1:21" x14ac:dyDescent="0.25">
      <c r="A46">
        <v>72</v>
      </c>
      <c r="B46" s="11" t="s">
        <v>35</v>
      </c>
      <c r="C46" s="11" t="s">
        <v>118</v>
      </c>
      <c r="D46" s="4" t="s">
        <v>121</v>
      </c>
      <c r="E46" s="35">
        <f>SUM(Tabel13[[#This Row],[2023]]+Tabel13[[#This Row],[2024 lisanduv]])</f>
        <v>378800</v>
      </c>
      <c r="F46" s="32">
        <f>SUM(Tabel13[[#This Row],[Inv.
(15)]:[Maj.kulu
(55) ]])</f>
        <v>158400</v>
      </c>
      <c r="G46" s="32">
        <f>SUM(Tabel13[[#This Row],[Inv.
(15)2]:[Maj.kulu
(55) 2]])</f>
        <v>158400</v>
      </c>
      <c r="H46" s="32">
        <f>SUM(Tabel13[[#This Row],[Inv.
(15)3]:[Maj.kulu
(55) 3]])</f>
        <v>220400</v>
      </c>
      <c r="I46" s="39">
        <f>SUM(Tabel13[[#This Row],[Inv.
(15)4]:[Maj.kulu
(55) 4]])</f>
        <v>378800</v>
      </c>
      <c r="J46" s="27">
        <v>158400</v>
      </c>
      <c r="K46" s="22">
        <v>0</v>
      </c>
      <c r="L46" s="22">
        <v>0</v>
      </c>
      <c r="M46" s="27">
        <v>158400</v>
      </c>
      <c r="N46" s="22">
        <v>0</v>
      </c>
      <c r="O46" s="22">
        <v>0</v>
      </c>
      <c r="P46" s="27">
        <v>220400</v>
      </c>
      <c r="Q46" s="22">
        <v>0</v>
      </c>
      <c r="R46" s="22">
        <v>0</v>
      </c>
      <c r="S46" s="27">
        <v>378800</v>
      </c>
      <c r="T46" s="22">
        <v>0</v>
      </c>
      <c r="U46" s="29">
        <v>0</v>
      </c>
    </row>
    <row r="47" spans="1:21" x14ac:dyDescent="0.25">
      <c r="A47">
        <v>73</v>
      </c>
      <c r="B47" s="11" t="s">
        <v>35</v>
      </c>
      <c r="C47" s="11" t="s">
        <v>118</v>
      </c>
      <c r="D47" s="4" t="s">
        <v>122</v>
      </c>
      <c r="E47" s="35">
        <f>SUM(Tabel13[[#This Row],[2023]]+Tabel13[[#This Row],[2024 lisanduv]])</f>
        <v>416443</v>
      </c>
      <c r="F47" s="32">
        <f>SUM(Tabel13[[#This Row],[Inv.
(15)]:[Maj.kulu
(55) ]])</f>
        <v>50000</v>
      </c>
      <c r="G47" s="32">
        <f>SUM(Tabel13[[#This Row],[Inv.
(15)2]:[Maj.kulu
(55) 2]])</f>
        <v>-49776</v>
      </c>
      <c r="H47" s="32">
        <f>SUM(Tabel13[[#This Row],[Inv.
(15)3]:[Maj.kulu
(55) 3]])</f>
        <v>366443</v>
      </c>
      <c r="I47" s="39">
        <f>SUM(Tabel13[[#This Row],[Inv.
(15)4]:[Maj.kulu
(55) 4]])</f>
        <v>316667</v>
      </c>
      <c r="J47" s="27">
        <v>50000</v>
      </c>
      <c r="K47" s="22">
        <v>0</v>
      </c>
      <c r="L47" s="22">
        <v>0</v>
      </c>
      <c r="M47" s="27">
        <v>-49776</v>
      </c>
      <c r="N47" s="22">
        <v>0</v>
      </c>
      <c r="O47" s="22">
        <v>0</v>
      </c>
      <c r="P47" s="27">
        <v>366443</v>
      </c>
      <c r="Q47" s="22">
        <v>0</v>
      </c>
      <c r="R47" s="22">
        <v>0</v>
      </c>
      <c r="S47" s="27">
        <v>316667</v>
      </c>
      <c r="T47" s="22">
        <v>0</v>
      </c>
      <c r="U47" s="29">
        <v>0</v>
      </c>
    </row>
    <row r="48" spans="1:21" x14ac:dyDescent="0.25">
      <c r="A48">
        <v>74</v>
      </c>
      <c r="B48" s="11" t="s">
        <v>35</v>
      </c>
      <c r="C48" s="11" t="s">
        <v>118</v>
      </c>
      <c r="D48" s="4" t="s">
        <v>123</v>
      </c>
      <c r="E48" s="35">
        <f>SUM(Tabel13[[#This Row],[2023]]+Tabel13[[#This Row],[2024 lisanduv]])</f>
        <v>218614</v>
      </c>
      <c r="F48" s="32">
        <f>SUM(Tabel13[[#This Row],[Inv.
(15)]:[Maj.kulu
(55) ]])</f>
        <v>0</v>
      </c>
      <c r="G48" s="32">
        <f>SUM(Tabel13[[#This Row],[Inv.
(15)2]:[Maj.kulu
(55) 2]])</f>
        <v>0</v>
      </c>
      <c r="H48" s="32">
        <f>SUM(Tabel13[[#This Row],[Inv.
(15)3]:[Maj.kulu
(55) 3]])</f>
        <v>218614</v>
      </c>
      <c r="I48" s="39">
        <f>SUM(Tabel13[[#This Row],[Inv.
(15)4]:[Maj.kulu
(55) 4]])</f>
        <v>218614</v>
      </c>
      <c r="J48" s="27">
        <v>0</v>
      </c>
      <c r="K48" s="22">
        <v>0</v>
      </c>
      <c r="L48" s="22">
        <v>0</v>
      </c>
      <c r="M48" s="27">
        <v>0</v>
      </c>
      <c r="N48" s="22">
        <v>0</v>
      </c>
      <c r="O48" s="22">
        <v>0</v>
      </c>
      <c r="P48" s="27">
        <v>218614</v>
      </c>
      <c r="Q48" s="22">
        <v>0</v>
      </c>
      <c r="R48" s="22">
        <v>0</v>
      </c>
      <c r="S48" s="27">
        <v>218614</v>
      </c>
      <c r="T48" s="22">
        <v>0</v>
      </c>
      <c r="U48" s="29">
        <v>0</v>
      </c>
    </row>
    <row r="49" spans="1:21" x14ac:dyDescent="0.25">
      <c r="A49">
        <v>75</v>
      </c>
      <c r="B49" s="11" t="s">
        <v>35</v>
      </c>
      <c r="C49" s="11" t="s">
        <v>118</v>
      </c>
      <c r="D49" s="4" t="s">
        <v>124</v>
      </c>
      <c r="E49" s="35">
        <f>SUM(Tabel13[[#This Row],[2023]]+Tabel13[[#This Row],[2024 lisanduv]])</f>
        <v>102459</v>
      </c>
      <c r="F49" s="32">
        <f>SUM(Tabel13[[#This Row],[Inv.
(15)]:[Maj.kulu
(55) ]])</f>
        <v>0</v>
      </c>
      <c r="G49" s="32">
        <f>SUM(Tabel13[[#This Row],[Inv.
(15)2]:[Maj.kulu
(55) 2]])</f>
        <v>0</v>
      </c>
      <c r="H49" s="32">
        <f>SUM(Tabel13[[#This Row],[Inv.
(15)3]:[Maj.kulu
(55) 3]])</f>
        <v>102459</v>
      </c>
      <c r="I49" s="39">
        <f>SUM(Tabel13[[#This Row],[Inv.
(15)4]:[Maj.kulu
(55) 4]])</f>
        <v>102459</v>
      </c>
      <c r="J49" s="27">
        <v>0</v>
      </c>
      <c r="K49" s="22">
        <v>0</v>
      </c>
      <c r="L49" s="22">
        <v>0</v>
      </c>
      <c r="M49" s="27">
        <v>0</v>
      </c>
      <c r="N49" s="22">
        <v>0</v>
      </c>
      <c r="O49" s="22">
        <v>0</v>
      </c>
      <c r="P49" s="27">
        <v>102459</v>
      </c>
      <c r="Q49" s="22">
        <v>0</v>
      </c>
      <c r="R49" s="22">
        <v>0</v>
      </c>
      <c r="S49" s="27">
        <v>102459</v>
      </c>
      <c r="T49" s="22">
        <v>0</v>
      </c>
      <c r="U49" s="29">
        <v>0</v>
      </c>
    </row>
    <row r="50" spans="1:21" x14ac:dyDescent="0.25">
      <c r="A50">
        <v>76</v>
      </c>
      <c r="B50" s="11" t="s">
        <v>35</v>
      </c>
      <c r="C50" s="11" t="s">
        <v>118</v>
      </c>
      <c r="D50" s="4" t="s">
        <v>125</v>
      </c>
      <c r="E50" s="35">
        <f>SUM(Tabel13[[#This Row],[2023]]+Tabel13[[#This Row],[2024 lisanduv]])</f>
        <v>166000</v>
      </c>
      <c r="F50" s="32">
        <f>SUM(Tabel13[[#This Row],[Inv.
(15)]:[Maj.kulu
(55) ]])</f>
        <v>0</v>
      </c>
      <c r="G50" s="32">
        <f>SUM(Tabel13[[#This Row],[Inv.
(15)2]:[Maj.kulu
(55) 2]])</f>
        <v>0</v>
      </c>
      <c r="H50" s="32">
        <f>SUM(Tabel13[[#This Row],[Inv.
(15)3]:[Maj.kulu
(55) 3]])</f>
        <v>166000</v>
      </c>
      <c r="I50" s="39">
        <f>SUM(Tabel13[[#This Row],[Inv.
(15)4]:[Maj.kulu
(55) 4]])</f>
        <v>166000</v>
      </c>
      <c r="J50" s="27">
        <v>0</v>
      </c>
      <c r="K50" s="22">
        <v>0</v>
      </c>
      <c r="L50" s="22">
        <v>0</v>
      </c>
      <c r="M50" s="27">
        <v>0</v>
      </c>
      <c r="N50" s="22">
        <v>0</v>
      </c>
      <c r="O50" s="22">
        <v>0</v>
      </c>
      <c r="P50" s="27">
        <v>0</v>
      </c>
      <c r="Q50" s="22">
        <v>0</v>
      </c>
      <c r="R50" s="22">
        <v>166000</v>
      </c>
      <c r="S50" s="27">
        <v>0</v>
      </c>
      <c r="T50" s="22">
        <v>0</v>
      </c>
      <c r="U50" s="29">
        <v>166000</v>
      </c>
    </row>
    <row r="51" spans="1:21" x14ac:dyDescent="0.25">
      <c r="A51">
        <v>77</v>
      </c>
      <c r="B51" s="11" t="s">
        <v>35</v>
      </c>
      <c r="C51" s="11" t="s">
        <v>118</v>
      </c>
      <c r="D51" s="4" t="s">
        <v>126</v>
      </c>
      <c r="E51" s="35">
        <f>SUM(Tabel13[[#This Row],[2023]]+Tabel13[[#This Row],[2024 lisanduv]])</f>
        <v>500000</v>
      </c>
      <c r="F51" s="32">
        <f>SUM(Tabel13[[#This Row],[Inv.
(15)]:[Maj.kulu
(55) ]])</f>
        <v>0</v>
      </c>
      <c r="G51" s="32">
        <f>SUM(Tabel13[[#This Row],[Inv.
(15)2]:[Maj.kulu
(55) 2]])</f>
        <v>0</v>
      </c>
      <c r="H51" s="32">
        <f>SUM(Tabel13[[#This Row],[Inv.
(15)3]:[Maj.kulu
(55) 3]])</f>
        <v>500000</v>
      </c>
      <c r="I51" s="39">
        <f>SUM(Tabel13[[#This Row],[Inv.
(15)4]:[Maj.kulu
(55) 4]])</f>
        <v>500000</v>
      </c>
      <c r="J51" s="27">
        <v>0</v>
      </c>
      <c r="K51" s="22">
        <v>0</v>
      </c>
      <c r="L51" s="22">
        <v>0</v>
      </c>
      <c r="M51" s="27">
        <v>0</v>
      </c>
      <c r="N51" s="22">
        <v>0</v>
      </c>
      <c r="O51" s="22">
        <v>0</v>
      </c>
      <c r="P51" s="27">
        <v>500000</v>
      </c>
      <c r="Q51" s="22">
        <v>0</v>
      </c>
      <c r="R51" s="22">
        <v>0</v>
      </c>
      <c r="S51" s="27">
        <v>500000</v>
      </c>
      <c r="T51" s="22">
        <v>0</v>
      </c>
      <c r="U51" s="29">
        <v>0</v>
      </c>
    </row>
    <row r="52" spans="1:21" x14ac:dyDescent="0.25">
      <c r="A52">
        <v>78</v>
      </c>
      <c r="B52" s="11" t="s">
        <v>35</v>
      </c>
      <c r="C52" s="11" t="s">
        <v>118</v>
      </c>
      <c r="D52" s="4" t="s">
        <v>127</v>
      </c>
      <c r="E52" s="35">
        <f>SUM(Tabel13[[#This Row],[2023]]+Tabel13[[#This Row],[2024 lisanduv]])</f>
        <v>365000</v>
      </c>
      <c r="F52" s="32">
        <f>SUM(Tabel13[[#This Row],[Inv.
(15)]:[Maj.kulu
(55) ]])</f>
        <v>135000</v>
      </c>
      <c r="G52" s="32">
        <f>SUM(Tabel13[[#This Row],[Inv.
(15)2]:[Maj.kulu
(55) 2]])</f>
        <v>135000</v>
      </c>
      <c r="H52" s="32">
        <f>SUM(Tabel13[[#This Row],[Inv.
(15)3]:[Maj.kulu
(55) 3]])</f>
        <v>230000</v>
      </c>
      <c r="I52" s="39">
        <f>SUM(Tabel13[[#This Row],[Inv.
(15)4]:[Maj.kulu
(55) 4]])</f>
        <v>365000</v>
      </c>
      <c r="J52" s="27">
        <v>135000</v>
      </c>
      <c r="K52" s="22">
        <v>0</v>
      </c>
      <c r="L52" s="22">
        <v>0</v>
      </c>
      <c r="M52" s="27">
        <v>135000</v>
      </c>
      <c r="N52" s="22">
        <v>0</v>
      </c>
      <c r="O52" s="22">
        <v>0</v>
      </c>
      <c r="P52" s="27">
        <v>230000</v>
      </c>
      <c r="Q52" s="22">
        <v>0</v>
      </c>
      <c r="R52" s="22">
        <v>0</v>
      </c>
      <c r="S52" s="27">
        <v>365000</v>
      </c>
      <c r="T52" s="22">
        <v>0</v>
      </c>
      <c r="U52" s="29">
        <v>0</v>
      </c>
    </row>
    <row r="53" spans="1:21" x14ac:dyDescent="0.25">
      <c r="A53">
        <v>79</v>
      </c>
      <c r="B53" s="11" t="s">
        <v>35</v>
      </c>
      <c r="C53" s="11" t="s">
        <v>118</v>
      </c>
      <c r="D53" s="4" t="s">
        <v>128</v>
      </c>
      <c r="E53" s="35">
        <f>SUM(Tabel13[[#This Row],[2023]]+Tabel13[[#This Row],[2024 lisanduv]])</f>
        <v>83333</v>
      </c>
      <c r="F53" s="32">
        <f>SUM(Tabel13[[#This Row],[Inv.
(15)]:[Maj.kulu
(55) ]])</f>
        <v>0</v>
      </c>
      <c r="G53" s="32">
        <f>SUM(Tabel13[[#This Row],[Inv.
(15)2]:[Maj.kulu
(55) 2]])</f>
        <v>0</v>
      </c>
      <c r="H53" s="32">
        <f>SUM(Tabel13[[#This Row],[Inv.
(15)3]:[Maj.kulu
(55) 3]])</f>
        <v>83333</v>
      </c>
      <c r="I53" s="37">
        <f>SUM(Tabel13[[#This Row],[Inv.
(15)4]:[Maj.kulu
(55) 4]])</f>
        <v>83333</v>
      </c>
      <c r="J53" s="23">
        <v>0</v>
      </c>
      <c r="K53" s="22">
        <v>0</v>
      </c>
      <c r="L53" s="22">
        <v>0</v>
      </c>
      <c r="M53" s="27">
        <v>0</v>
      </c>
      <c r="N53" s="22">
        <v>0</v>
      </c>
      <c r="O53" s="29">
        <v>0</v>
      </c>
      <c r="P53" s="27">
        <v>0</v>
      </c>
      <c r="Q53" s="22">
        <v>0</v>
      </c>
      <c r="R53" s="29">
        <v>83333</v>
      </c>
      <c r="S53" s="27">
        <v>0</v>
      </c>
      <c r="T53" s="22">
        <v>0</v>
      </c>
      <c r="U53" s="29">
        <v>83333</v>
      </c>
    </row>
    <row r="54" spans="1:21" x14ac:dyDescent="0.25">
      <c r="A54">
        <v>80</v>
      </c>
      <c r="B54" s="11" t="s">
        <v>35</v>
      </c>
      <c r="C54" s="11" t="s">
        <v>129</v>
      </c>
      <c r="D54" s="4" t="s">
        <v>130</v>
      </c>
      <c r="E54" s="35">
        <f>SUM(Tabel13[[#This Row],[2023]]+Tabel13[[#This Row],[2024 lisanduv]])</f>
        <v>100000</v>
      </c>
      <c r="F54" s="32">
        <f>SUM(Tabel13[[#This Row],[Inv.
(15)]:[Maj.kulu
(55) ]])</f>
        <v>0</v>
      </c>
      <c r="G54" s="32">
        <f>SUM(Tabel13[[#This Row],[Inv.
(15)2]:[Maj.kulu
(55) 2]])</f>
        <v>0</v>
      </c>
      <c r="H54" s="32">
        <f>SUM(Tabel13[[#This Row],[Inv.
(15)3]:[Maj.kulu
(55) 3]])</f>
        <v>100000</v>
      </c>
      <c r="I54" s="37">
        <f>SUM(Tabel13[[#This Row],[Inv.
(15)4]:[Maj.kulu
(55) 4]])</f>
        <v>100000</v>
      </c>
      <c r="J54" s="23">
        <v>0</v>
      </c>
      <c r="K54" s="22">
        <v>0</v>
      </c>
      <c r="L54" s="22">
        <v>0</v>
      </c>
      <c r="M54" s="27">
        <v>0</v>
      </c>
      <c r="N54" s="22">
        <v>0</v>
      </c>
      <c r="O54" s="29">
        <v>0</v>
      </c>
      <c r="P54" s="27">
        <v>100000</v>
      </c>
      <c r="Q54" s="22">
        <v>0</v>
      </c>
      <c r="R54" s="29"/>
      <c r="S54" s="27">
        <v>100000</v>
      </c>
      <c r="T54" s="22">
        <v>0</v>
      </c>
      <c r="U54" s="29">
        <v>0</v>
      </c>
    </row>
    <row r="55" spans="1:21" x14ac:dyDescent="0.25">
      <c r="A55">
        <v>81</v>
      </c>
      <c r="B55" s="11" t="s">
        <v>35</v>
      </c>
      <c r="C55" s="11" t="s">
        <v>129</v>
      </c>
      <c r="D55" s="4" t="s">
        <v>131</v>
      </c>
      <c r="E55" s="35">
        <f>SUM(Tabel13[[#This Row],[2023]]+Tabel13[[#This Row],[2024 lisanduv]])</f>
        <v>29900</v>
      </c>
      <c r="F55" s="32">
        <f>SUM(Tabel13[[#This Row],[Inv.
(15)]:[Maj.kulu
(55) ]])</f>
        <v>0</v>
      </c>
      <c r="G55" s="32">
        <f>SUM(Tabel13[[#This Row],[Inv.
(15)2]:[Maj.kulu
(55) 2]])</f>
        <v>0</v>
      </c>
      <c r="H55" s="32">
        <f>SUM(Tabel13[[#This Row],[Inv.
(15)3]:[Maj.kulu
(55) 3]])</f>
        <v>29900</v>
      </c>
      <c r="I55" s="37">
        <f>SUM(Tabel13[[#This Row],[Inv.
(15)4]:[Maj.kulu
(55) 4]])</f>
        <v>29900</v>
      </c>
      <c r="J55" s="23">
        <v>0</v>
      </c>
      <c r="K55" s="22">
        <v>0</v>
      </c>
      <c r="L55" s="22">
        <v>0</v>
      </c>
      <c r="M55" s="27">
        <v>0</v>
      </c>
      <c r="N55" s="22">
        <v>0</v>
      </c>
      <c r="O55" s="29">
        <v>0</v>
      </c>
      <c r="P55" s="22">
        <v>0</v>
      </c>
      <c r="Q55" s="22">
        <v>0</v>
      </c>
      <c r="R55" s="29">
        <v>29900</v>
      </c>
      <c r="S55" s="27">
        <v>0</v>
      </c>
      <c r="T55" s="22">
        <v>0</v>
      </c>
      <c r="U55" s="29">
        <v>29900</v>
      </c>
    </row>
    <row r="56" spans="1:21" x14ac:dyDescent="0.25">
      <c r="A56">
        <v>82</v>
      </c>
      <c r="B56" s="11" t="s">
        <v>35</v>
      </c>
      <c r="C56" s="11" t="s">
        <v>132</v>
      </c>
      <c r="D56" s="4" t="s">
        <v>133</v>
      </c>
      <c r="E56" s="35">
        <f>SUM(Tabel13[[#This Row],[2023]]+Tabel13[[#This Row],[2024 lisanduv]])</f>
        <v>360000</v>
      </c>
      <c r="F56" s="32">
        <f>SUM(Tabel13[[#This Row],[Inv.
(15)]:[Maj.kulu
(55) ]])</f>
        <v>360000</v>
      </c>
      <c r="G56" s="32">
        <f>SUM(Tabel13[[#This Row],[Inv.
(15)2]:[Maj.kulu
(55) 2]])</f>
        <v>126727</v>
      </c>
      <c r="H56" s="32">
        <f>SUM(Tabel13[[#This Row],[Inv.
(15)3]:[Maj.kulu
(55) 3]])</f>
        <v>0</v>
      </c>
      <c r="I56" s="37">
        <f>SUM(Tabel13[[#This Row],[Inv.
(15)4]:[Maj.kulu
(55) 4]])</f>
        <v>126727</v>
      </c>
      <c r="J56" s="23">
        <v>0</v>
      </c>
      <c r="K56" s="22">
        <v>0</v>
      </c>
      <c r="L56" s="29">
        <v>360000</v>
      </c>
      <c r="M56" s="27">
        <v>0</v>
      </c>
      <c r="N56" s="22">
        <v>0</v>
      </c>
      <c r="O56" s="29">
        <v>126727</v>
      </c>
      <c r="P56" s="22">
        <v>0</v>
      </c>
      <c r="Q56" s="22">
        <v>0</v>
      </c>
      <c r="R56" s="29">
        <v>0</v>
      </c>
      <c r="S56" s="27">
        <v>0</v>
      </c>
      <c r="T56" s="22">
        <v>0</v>
      </c>
      <c r="U56" s="29">
        <v>126727</v>
      </c>
    </row>
    <row r="57" spans="1:21" x14ac:dyDescent="0.25">
      <c r="A57">
        <v>83</v>
      </c>
      <c r="B57" s="11" t="s">
        <v>37</v>
      </c>
      <c r="C57" s="11" t="s">
        <v>134</v>
      </c>
      <c r="D57" s="4" t="s">
        <v>135</v>
      </c>
      <c r="E57" s="35">
        <f>SUM(Tabel13[[#This Row],[2023]]+Tabel13[[#This Row],[2024 lisanduv]])</f>
        <v>10000</v>
      </c>
      <c r="F57" s="32">
        <f>SUM(Tabel13[[#This Row],[Inv.
(15)]:[Maj.kulu
(55) ]])</f>
        <v>0</v>
      </c>
      <c r="G57" s="32">
        <f>SUM(Tabel13[[#This Row],[Inv.
(15)2]:[Maj.kulu
(55) 2]])</f>
        <v>0</v>
      </c>
      <c r="H57" s="32">
        <f>SUM(Tabel13[[#This Row],[Inv.
(15)3]:[Maj.kulu
(55) 3]])</f>
        <v>10000</v>
      </c>
      <c r="I57" s="37">
        <f>SUM(Tabel13[[#This Row],[Inv.
(15)4]:[Maj.kulu
(55) 4]])</f>
        <v>10000</v>
      </c>
      <c r="J57" s="23">
        <v>0</v>
      </c>
      <c r="K57" s="22">
        <v>0</v>
      </c>
      <c r="L57" s="29">
        <v>0</v>
      </c>
      <c r="M57" s="23">
        <v>0</v>
      </c>
      <c r="N57" s="22">
        <v>0</v>
      </c>
      <c r="O57" s="29">
        <v>0</v>
      </c>
      <c r="P57" s="23">
        <v>0</v>
      </c>
      <c r="Q57" s="22">
        <v>0</v>
      </c>
      <c r="R57" s="29">
        <v>10000</v>
      </c>
      <c r="S57" s="27">
        <v>0</v>
      </c>
      <c r="T57" s="22">
        <v>0</v>
      </c>
      <c r="U57" s="29">
        <v>10000</v>
      </c>
    </row>
    <row r="58" spans="1:21" x14ac:dyDescent="0.25">
      <c r="A58">
        <v>84</v>
      </c>
      <c r="B58" s="11" t="s">
        <v>37</v>
      </c>
      <c r="C58" s="11" t="s">
        <v>134</v>
      </c>
      <c r="D58" s="4" t="s">
        <v>136</v>
      </c>
      <c r="E58" s="35">
        <f>SUM(Tabel13[[#This Row],[2023]]+Tabel13[[#This Row],[2024 lisanduv]])</f>
        <v>25000</v>
      </c>
      <c r="F58" s="32">
        <f>SUM(Tabel13[[#This Row],[Inv.
(15)]:[Maj.kulu
(55) ]])</f>
        <v>0</v>
      </c>
      <c r="G58" s="32">
        <f>SUM(Tabel13[[#This Row],[Inv.
(15)2]:[Maj.kulu
(55) 2]])</f>
        <v>0</v>
      </c>
      <c r="H58" s="32">
        <f>SUM(Tabel13[[#This Row],[Inv.
(15)3]:[Maj.kulu
(55) 3]])</f>
        <v>25000</v>
      </c>
      <c r="I58" s="37">
        <f>SUM(Tabel13[[#This Row],[Inv.
(15)4]:[Maj.kulu
(55) 4]])</f>
        <v>25000</v>
      </c>
      <c r="J58" s="23">
        <v>0</v>
      </c>
      <c r="K58" s="22">
        <v>0</v>
      </c>
      <c r="L58" s="29">
        <v>0</v>
      </c>
      <c r="M58" s="23">
        <v>0</v>
      </c>
      <c r="N58" s="22">
        <v>0</v>
      </c>
      <c r="O58" s="29">
        <v>0</v>
      </c>
      <c r="P58" s="23">
        <v>0</v>
      </c>
      <c r="Q58" s="22">
        <v>0</v>
      </c>
      <c r="R58" s="29">
        <v>25000</v>
      </c>
      <c r="S58" s="27">
        <v>0</v>
      </c>
      <c r="T58" s="22">
        <v>0</v>
      </c>
      <c r="U58" s="29">
        <v>25000</v>
      </c>
    </row>
    <row r="59" spans="1:21" x14ac:dyDescent="0.25">
      <c r="A59">
        <v>85</v>
      </c>
      <c r="B59" s="11" t="s">
        <v>37</v>
      </c>
      <c r="C59" s="11" t="s">
        <v>134</v>
      </c>
      <c r="D59" s="4" t="s">
        <v>137</v>
      </c>
      <c r="E59" s="35">
        <f>SUM(Tabel13[[#This Row],[2023]]+Tabel13[[#This Row],[2024 lisanduv]])</f>
        <v>50000</v>
      </c>
      <c r="F59" s="32">
        <f>SUM(Tabel13[[#This Row],[Inv.
(15)]:[Maj.kulu
(55) ]])</f>
        <v>0</v>
      </c>
      <c r="G59" s="32">
        <f>SUM(Tabel13[[#This Row],[Inv.
(15)2]:[Maj.kulu
(55) 2]])</f>
        <v>0</v>
      </c>
      <c r="H59" s="32">
        <f>SUM(Tabel13[[#This Row],[Inv.
(15)3]:[Maj.kulu
(55) 3]])</f>
        <v>50000</v>
      </c>
      <c r="I59" s="37">
        <f>SUM(Tabel13[[#This Row],[Inv.
(15)4]:[Maj.kulu
(55) 4]])</f>
        <v>50000</v>
      </c>
      <c r="J59" s="23">
        <v>0</v>
      </c>
      <c r="K59" s="22">
        <v>0</v>
      </c>
      <c r="L59" s="29">
        <v>0</v>
      </c>
      <c r="M59" s="23">
        <v>0</v>
      </c>
      <c r="N59" s="22">
        <v>0</v>
      </c>
      <c r="O59" s="29">
        <v>0</v>
      </c>
      <c r="P59" s="23">
        <v>0</v>
      </c>
      <c r="Q59" s="22">
        <v>0</v>
      </c>
      <c r="R59" s="29">
        <v>50000</v>
      </c>
      <c r="S59" s="27">
        <v>0</v>
      </c>
      <c r="T59" s="22">
        <v>0</v>
      </c>
      <c r="U59" s="29">
        <v>50000</v>
      </c>
    </row>
    <row r="60" spans="1:21" x14ac:dyDescent="0.25">
      <c r="A60">
        <v>86</v>
      </c>
      <c r="B60" s="11" t="s">
        <v>37</v>
      </c>
      <c r="C60" s="11" t="s">
        <v>134</v>
      </c>
      <c r="D60" s="4" t="s">
        <v>138</v>
      </c>
      <c r="E60" s="35">
        <f>SUM(Tabel13[[#This Row],[2023]]+Tabel13[[#This Row],[2024 lisanduv]])</f>
        <v>3000</v>
      </c>
      <c r="F60" s="32">
        <f>SUM(Tabel13[[#This Row],[Inv.
(15)]:[Maj.kulu
(55) ]])</f>
        <v>0</v>
      </c>
      <c r="G60" s="32">
        <f>SUM(Tabel13[[#This Row],[Inv.
(15)2]:[Maj.kulu
(55) 2]])</f>
        <v>0</v>
      </c>
      <c r="H60" s="32">
        <f>SUM(Tabel13[[#This Row],[Inv.
(15)3]:[Maj.kulu
(55) 3]])</f>
        <v>3000</v>
      </c>
      <c r="I60" s="37">
        <f>SUM(Tabel13[[#This Row],[Inv.
(15)4]:[Maj.kulu
(55) 4]])</f>
        <v>3000</v>
      </c>
      <c r="J60" s="23">
        <v>0</v>
      </c>
      <c r="K60" s="22">
        <v>0</v>
      </c>
      <c r="L60" s="29">
        <v>0</v>
      </c>
      <c r="M60" s="23">
        <v>0</v>
      </c>
      <c r="N60" s="22">
        <v>0</v>
      </c>
      <c r="O60" s="29">
        <v>0</v>
      </c>
      <c r="P60" s="23">
        <v>0</v>
      </c>
      <c r="Q60" s="22">
        <v>0</v>
      </c>
      <c r="R60" s="29">
        <v>3000</v>
      </c>
      <c r="S60" s="27">
        <v>0</v>
      </c>
      <c r="T60" s="22">
        <v>0</v>
      </c>
      <c r="U60" s="29">
        <v>3000</v>
      </c>
    </row>
    <row r="61" spans="1:21" x14ac:dyDescent="0.25">
      <c r="A61">
        <v>87</v>
      </c>
      <c r="B61" s="11" t="s">
        <v>37</v>
      </c>
      <c r="C61" s="11" t="s">
        <v>139</v>
      </c>
      <c r="D61" s="4" t="s">
        <v>140</v>
      </c>
      <c r="E61" s="35">
        <f>SUM(Tabel13[[#This Row],[2023]]+Tabel13[[#This Row],[2024 lisanduv]])</f>
        <v>60000</v>
      </c>
      <c r="F61" s="32">
        <f>SUM(Tabel13[[#This Row],[Inv.
(15)]:[Maj.kulu
(55) ]])</f>
        <v>0</v>
      </c>
      <c r="G61" s="32">
        <f>SUM(Tabel13[[#This Row],[Inv.
(15)2]:[Maj.kulu
(55) 2]])</f>
        <v>0</v>
      </c>
      <c r="H61" s="32">
        <f>SUM(Tabel13[[#This Row],[Inv.
(15)3]:[Maj.kulu
(55) 3]])</f>
        <v>60000</v>
      </c>
      <c r="I61" s="37">
        <f>SUM(Tabel13[[#This Row],[Inv.
(15)4]:[Maj.kulu
(55) 4]])</f>
        <v>60000</v>
      </c>
      <c r="J61" s="23">
        <v>0</v>
      </c>
      <c r="K61" s="22">
        <v>0</v>
      </c>
      <c r="L61" s="29">
        <v>0</v>
      </c>
      <c r="M61" s="23">
        <v>0</v>
      </c>
      <c r="N61" s="22">
        <v>0</v>
      </c>
      <c r="O61" s="29">
        <v>0</v>
      </c>
      <c r="P61" s="23">
        <v>0</v>
      </c>
      <c r="Q61" s="22">
        <v>0</v>
      </c>
      <c r="R61" s="22">
        <v>60000</v>
      </c>
      <c r="S61" s="27">
        <v>0</v>
      </c>
      <c r="T61" s="22">
        <v>0</v>
      </c>
      <c r="U61" s="29">
        <v>60000</v>
      </c>
    </row>
    <row r="62" spans="1:21" x14ac:dyDescent="0.25">
      <c r="A62">
        <v>88</v>
      </c>
      <c r="B62" s="11" t="s">
        <v>37</v>
      </c>
      <c r="C62" s="11" t="s">
        <v>139</v>
      </c>
      <c r="D62" s="4" t="s">
        <v>141</v>
      </c>
      <c r="E62" s="35">
        <f>SUM(Tabel13[[#This Row],[2023]]+Tabel13[[#This Row],[2024 lisanduv]])</f>
        <v>4000</v>
      </c>
      <c r="F62" s="32">
        <f>SUM(Tabel13[[#This Row],[Inv.
(15)]:[Maj.kulu
(55) ]])</f>
        <v>0</v>
      </c>
      <c r="G62" s="32">
        <f>SUM(Tabel13[[#This Row],[Inv.
(15)2]:[Maj.kulu
(55) 2]])</f>
        <v>0</v>
      </c>
      <c r="H62" s="32">
        <f>SUM(Tabel13[[#This Row],[Inv.
(15)3]:[Maj.kulu
(55) 3]])</f>
        <v>4000</v>
      </c>
      <c r="I62" s="37">
        <f>SUM(Tabel13[[#This Row],[Inv.
(15)4]:[Maj.kulu
(55) 4]])</f>
        <v>4000</v>
      </c>
      <c r="J62" s="23">
        <v>0</v>
      </c>
      <c r="K62" s="22">
        <v>0</v>
      </c>
      <c r="L62" s="29">
        <v>0</v>
      </c>
      <c r="M62" s="23">
        <v>0</v>
      </c>
      <c r="N62" s="22">
        <v>0</v>
      </c>
      <c r="O62" s="29">
        <v>0</v>
      </c>
      <c r="P62" s="23">
        <v>0</v>
      </c>
      <c r="Q62" s="22">
        <v>0</v>
      </c>
      <c r="R62" s="22">
        <v>4000</v>
      </c>
      <c r="S62" s="27">
        <v>0</v>
      </c>
      <c r="T62" s="22">
        <v>0</v>
      </c>
      <c r="U62" s="29">
        <v>4000</v>
      </c>
    </row>
    <row r="63" spans="1:21" x14ac:dyDescent="0.25">
      <c r="A63">
        <v>89</v>
      </c>
      <c r="B63" s="11" t="s">
        <v>37</v>
      </c>
      <c r="C63" s="11" t="s">
        <v>139</v>
      </c>
      <c r="D63" s="4" t="s">
        <v>142</v>
      </c>
      <c r="E63" s="35">
        <f>SUM(Tabel13[[#This Row],[2023]]+Tabel13[[#This Row],[2024 lisanduv]])</f>
        <v>50000</v>
      </c>
      <c r="F63" s="32">
        <f>SUM(Tabel13[[#This Row],[Inv.
(15)]:[Maj.kulu
(55) ]])</f>
        <v>0</v>
      </c>
      <c r="G63" s="32">
        <f>SUM(Tabel13[[#This Row],[Inv.
(15)2]:[Maj.kulu
(55) 2]])</f>
        <v>0</v>
      </c>
      <c r="H63" s="32">
        <f>SUM(Tabel13[[#This Row],[Inv.
(15)3]:[Maj.kulu
(55) 3]])</f>
        <v>50000</v>
      </c>
      <c r="I63" s="37">
        <f>SUM(Tabel13[[#This Row],[Inv.
(15)4]:[Maj.kulu
(55) 4]])</f>
        <v>50000</v>
      </c>
      <c r="J63" s="23">
        <v>0</v>
      </c>
      <c r="K63" s="22">
        <v>0</v>
      </c>
      <c r="L63" s="29">
        <v>0</v>
      </c>
      <c r="M63" s="23">
        <v>0</v>
      </c>
      <c r="N63" s="22">
        <v>0</v>
      </c>
      <c r="O63" s="29">
        <v>0</v>
      </c>
      <c r="P63" s="23">
        <v>0</v>
      </c>
      <c r="Q63" s="22">
        <v>0</v>
      </c>
      <c r="R63" s="22">
        <v>50000</v>
      </c>
      <c r="S63" s="27">
        <v>0</v>
      </c>
      <c r="T63" s="22">
        <v>0</v>
      </c>
      <c r="U63" s="29">
        <v>50000</v>
      </c>
    </row>
    <row r="64" spans="1:21" x14ac:dyDescent="0.25">
      <c r="A64">
        <v>90</v>
      </c>
      <c r="B64" s="11" t="s">
        <v>37</v>
      </c>
      <c r="C64" s="11" t="s">
        <v>139</v>
      </c>
      <c r="D64" s="4" t="s">
        <v>26</v>
      </c>
      <c r="E64" s="35">
        <f>SUM(Tabel13[[#This Row],[2023]]+Tabel13[[#This Row],[2024 lisanduv]])</f>
        <v>613500</v>
      </c>
      <c r="F64" s="32">
        <f>SUM(Tabel13[[#This Row],[Inv.
(15)]:[Maj.kulu
(55) ]])</f>
        <v>613500</v>
      </c>
      <c r="G64" s="32">
        <f>SUM(Tabel13[[#This Row],[Inv.
(15)2]:[Maj.kulu
(55) 2]])</f>
        <v>613500</v>
      </c>
      <c r="H64" s="32">
        <f>SUM(Tabel13[[#This Row],[Inv.
(15)3]:[Maj.kulu
(55) 3]])</f>
        <v>0</v>
      </c>
      <c r="I64" s="37">
        <f>SUM(Tabel13[[#This Row],[Inv.
(15)4]:[Maj.kulu
(55) 4]])</f>
        <v>613500</v>
      </c>
      <c r="J64" s="23">
        <v>613500</v>
      </c>
      <c r="K64" s="22">
        <v>0</v>
      </c>
      <c r="L64" s="29">
        <v>0</v>
      </c>
      <c r="M64" s="23">
        <v>613500</v>
      </c>
      <c r="N64" s="22">
        <v>0</v>
      </c>
      <c r="O64" s="29">
        <v>0</v>
      </c>
      <c r="P64" s="23">
        <v>0</v>
      </c>
      <c r="Q64" s="22">
        <v>0</v>
      </c>
      <c r="R64" s="22">
        <v>0</v>
      </c>
      <c r="S64" s="27">
        <v>613500</v>
      </c>
      <c r="T64" s="22">
        <v>0</v>
      </c>
      <c r="U64" s="29">
        <v>0</v>
      </c>
    </row>
    <row r="65" spans="1:21" x14ac:dyDescent="0.25">
      <c r="A65">
        <v>93</v>
      </c>
      <c r="B65" s="11" t="s">
        <v>37</v>
      </c>
      <c r="C65" s="11" t="s">
        <v>166</v>
      </c>
      <c r="D65" s="4" t="s">
        <v>143</v>
      </c>
      <c r="E65" s="35">
        <f>SUM(Tabel13[[#This Row],[2023]]+Tabel13[[#This Row],[2024 lisanduv]])</f>
        <v>65000</v>
      </c>
      <c r="F65" s="32">
        <f>SUM(Tabel13[[#This Row],[Inv.
(15)]:[Maj.kulu
(55) ]])</f>
        <v>0</v>
      </c>
      <c r="G65" s="32">
        <f>SUM(Tabel13[[#This Row],[Inv.
(15)2]:[Maj.kulu
(55) 2]])</f>
        <v>0</v>
      </c>
      <c r="H65" s="32">
        <f>SUM(Tabel13[[#This Row],[Inv.
(15)3]:[Maj.kulu
(55) 3]])</f>
        <v>65000</v>
      </c>
      <c r="I65" s="37">
        <f>SUM(Tabel13[[#This Row],[Inv.
(15)4]:[Maj.kulu
(55) 4]])</f>
        <v>65000</v>
      </c>
      <c r="J65" s="23"/>
      <c r="K65" s="22"/>
      <c r="L65" s="29"/>
      <c r="M65" s="23"/>
      <c r="N65" s="22"/>
      <c r="O65" s="29"/>
      <c r="P65" s="23"/>
      <c r="Q65" s="22"/>
      <c r="R65" s="22">
        <v>65000</v>
      </c>
      <c r="S65" s="27">
        <v>0</v>
      </c>
      <c r="T65" s="22">
        <v>0</v>
      </c>
      <c r="U65" s="29">
        <v>65000</v>
      </c>
    </row>
    <row r="66" spans="1:21" x14ac:dyDescent="0.25">
      <c r="A66">
        <v>94</v>
      </c>
      <c r="B66" s="11" t="s">
        <v>37</v>
      </c>
      <c r="C66" s="11" t="s">
        <v>166</v>
      </c>
      <c r="D66" s="4" t="s">
        <v>144</v>
      </c>
      <c r="E66" s="35">
        <f>SUM(Tabel13[[#This Row],[2023]]+Tabel13[[#This Row],[2024 lisanduv]])</f>
        <v>70000</v>
      </c>
      <c r="F66" s="32">
        <f>SUM(Tabel13[[#This Row],[Inv.
(15)]:[Maj.kulu
(55) ]])</f>
        <v>0</v>
      </c>
      <c r="G66" s="32">
        <f>SUM(Tabel13[[#This Row],[Inv.
(15)2]:[Maj.kulu
(55) 2]])</f>
        <v>0</v>
      </c>
      <c r="H66" s="32">
        <f>SUM(Tabel13[[#This Row],[Inv.
(15)3]:[Maj.kulu
(55) 3]])</f>
        <v>70000</v>
      </c>
      <c r="I66" s="37">
        <f>SUM(Tabel13[[#This Row],[Inv.
(15)4]:[Maj.kulu
(55) 4]])</f>
        <v>70000</v>
      </c>
      <c r="J66" s="23"/>
      <c r="K66" s="22"/>
      <c r="L66" s="29"/>
      <c r="M66" s="23"/>
      <c r="N66" s="22"/>
      <c r="O66" s="29"/>
      <c r="P66" s="23"/>
      <c r="Q66" s="22">
        <v>70000</v>
      </c>
      <c r="R66" s="22"/>
      <c r="S66" s="27">
        <v>0</v>
      </c>
      <c r="T66" s="22">
        <v>70000</v>
      </c>
      <c r="U66" s="29">
        <v>0</v>
      </c>
    </row>
    <row r="67" spans="1:21" x14ac:dyDescent="0.25">
      <c r="A67">
        <v>95</v>
      </c>
      <c r="B67" s="11" t="s">
        <v>37</v>
      </c>
      <c r="C67" s="11" t="s">
        <v>166</v>
      </c>
      <c r="D67" s="4" t="s">
        <v>145</v>
      </c>
      <c r="E67" s="35">
        <f>SUM(Tabel13[[#This Row],[2023]]+Tabel13[[#This Row],[2024 lisanduv]])</f>
        <v>231000</v>
      </c>
      <c r="F67" s="32">
        <f>SUM(Tabel13[[#This Row],[Inv.
(15)]:[Maj.kulu
(55) ]])</f>
        <v>0</v>
      </c>
      <c r="G67" s="32">
        <f>SUM(Tabel13[[#This Row],[Inv.
(15)2]:[Maj.kulu
(55) 2]])</f>
        <v>0</v>
      </c>
      <c r="H67" s="32">
        <f>SUM(Tabel13[[#This Row],[Inv.
(15)3]:[Maj.kulu
(55) 3]])</f>
        <v>231000</v>
      </c>
      <c r="I67" s="37">
        <f>SUM(Tabel13[[#This Row],[Inv.
(15)4]:[Maj.kulu
(55) 4]])</f>
        <v>231000</v>
      </c>
      <c r="J67" s="23"/>
      <c r="K67" s="22"/>
      <c r="L67" s="29"/>
      <c r="M67" s="23"/>
      <c r="N67" s="22"/>
      <c r="O67" s="29"/>
      <c r="P67" s="23">
        <v>231000</v>
      </c>
      <c r="Q67" s="22"/>
      <c r="R67" s="22"/>
      <c r="S67" s="27">
        <v>231000</v>
      </c>
      <c r="T67" s="22">
        <v>0</v>
      </c>
      <c r="U67" s="29">
        <v>0</v>
      </c>
    </row>
    <row r="68" spans="1:21" x14ac:dyDescent="0.25">
      <c r="A68">
        <v>96</v>
      </c>
      <c r="B68" s="11" t="s">
        <v>37</v>
      </c>
      <c r="C68" s="11" t="s">
        <v>166</v>
      </c>
      <c r="D68" s="4" t="s">
        <v>146</v>
      </c>
      <c r="E68" s="35">
        <f>SUM(Tabel13[[#This Row],[2023]]+Tabel13[[#This Row],[2024 lisanduv]])</f>
        <v>183000</v>
      </c>
      <c r="F68" s="32">
        <f>SUM(Tabel13[[#This Row],[Inv.
(15)]:[Maj.kulu
(55) ]])</f>
        <v>0</v>
      </c>
      <c r="G68" s="32">
        <f>SUM(Tabel13[[#This Row],[Inv.
(15)2]:[Maj.kulu
(55) 2]])</f>
        <v>0</v>
      </c>
      <c r="H68" s="32">
        <f>SUM(Tabel13[[#This Row],[Inv.
(15)3]:[Maj.kulu
(55) 3]])</f>
        <v>183000</v>
      </c>
      <c r="I68" s="37">
        <f>SUM(Tabel13[[#This Row],[Inv.
(15)4]:[Maj.kulu
(55) 4]])</f>
        <v>183000</v>
      </c>
      <c r="J68" s="23"/>
      <c r="K68" s="22"/>
      <c r="L68" s="29"/>
      <c r="M68" s="23"/>
      <c r="N68" s="22"/>
      <c r="O68" s="29"/>
      <c r="P68" s="23"/>
      <c r="Q68" s="22">
        <v>63000</v>
      </c>
      <c r="R68" s="22">
        <v>120000</v>
      </c>
      <c r="S68" s="27">
        <v>0</v>
      </c>
      <c r="T68" s="22">
        <v>63000</v>
      </c>
      <c r="U68" s="29">
        <v>120000</v>
      </c>
    </row>
    <row r="69" spans="1:21" x14ac:dyDescent="0.25">
      <c r="A69">
        <v>97</v>
      </c>
      <c r="B69" s="11" t="s">
        <v>37</v>
      </c>
      <c r="C69" s="11" t="s">
        <v>166</v>
      </c>
      <c r="D69" s="4" t="s">
        <v>147</v>
      </c>
      <c r="E69" s="35">
        <f>SUM(Tabel13[[#This Row],[2023]]+Tabel13[[#This Row],[2024 lisanduv]])</f>
        <v>80000</v>
      </c>
      <c r="F69" s="32">
        <f>SUM(Tabel13[[#This Row],[Inv.
(15)]:[Maj.kulu
(55) ]])</f>
        <v>0</v>
      </c>
      <c r="G69" s="32">
        <f>SUM(Tabel13[[#This Row],[Inv.
(15)2]:[Maj.kulu
(55) 2]])</f>
        <v>0</v>
      </c>
      <c r="H69" s="32">
        <f>SUM(Tabel13[[#This Row],[Inv.
(15)3]:[Maj.kulu
(55) 3]])</f>
        <v>80000</v>
      </c>
      <c r="I69" s="37">
        <f>SUM(Tabel13[[#This Row],[Inv.
(15)4]:[Maj.kulu
(55) 4]])</f>
        <v>80000</v>
      </c>
      <c r="J69" s="23"/>
      <c r="K69" s="22"/>
      <c r="L69" s="29"/>
      <c r="M69" s="23"/>
      <c r="N69" s="22"/>
      <c r="O69" s="29"/>
      <c r="P69" s="23"/>
      <c r="Q69" s="22"/>
      <c r="R69" s="22">
        <v>80000</v>
      </c>
      <c r="S69" s="27">
        <v>0</v>
      </c>
      <c r="T69" s="22">
        <v>0</v>
      </c>
      <c r="U69" s="29">
        <v>80000</v>
      </c>
    </row>
    <row r="70" spans="1:21" x14ac:dyDescent="0.25">
      <c r="A70">
        <v>98</v>
      </c>
      <c r="B70" s="11" t="s">
        <v>37</v>
      </c>
      <c r="C70" s="11" t="s">
        <v>167</v>
      </c>
      <c r="D70" s="4" t="s">
        <v>148</v>
      </c>
      <c r="E70" s="35">
        <f>SUM(Tabel13[[#This Row],[2023]]+Tabel13[[#This Row],[2024 lisanduv]])</f>
        <v>50000</v>
      </c>
      <c r="F70" s="32">
        <f>SUM(Tabel13[[#This Row],[Inv.
(15)]:[Maj.kulu
(55) ]])</f>
        <v>50000</v>
      </c>
      <c r="G70" s="32">
        <f>SUM(Tabel13[[#This Row],[Inv.
(15)2]:[Maj.kulu
(55) 2]])</f>
        <v>50000</v>
      </c>
      <c r="H70" s="32">
        <f>SUM(Tabel13[[#This Row],[Inv.
(15)3]:[Maj.kulu
(55) 3]])</f>
        <v>0</v>
      </c>
      <c r="I70" s="37">
        <f>SUM(Tabel13[[#This Row],[Inv.
(15)4]:[Maj.kulu
(55) 4]])</f>
        <v>50000</v>
      </c>
      <c r="J70" s="23"/>
      <c r="K70" s="22"/>
      <c r="L70" s="29">
        <v>50000</v>
      </c>
      <c r="M70" s="23"/>
      <c r="N70" s="22"/>
      <c r="O70" s="29">
        <v>50000</v>
      </c>
      <c r="P70" s="23"/>
      <c r="Q70" s="22"/>
      <c r="R70" s="22"/>
      <c r="S70" s="27">
        <v>0</v>
      </c>
      <c r="T70" s="22">
        <v>0</v>
      </c>
      <c r="U70" s="29">
        <v>50000</v>
      </c>
    </row>
    <row r="71" spans="1:21" x14ac:dyDescent="0.25">
      <c r="A71">
        <v>99</v>
      </c>
      <c r="B71" s="11" t="s">
        <v>37</v>
      </c>
      <c r="C71" s="11" t="s">
        <v>167</v>
      </c>
      <c r="D71" s="4" t="s">
        <v>149</v>
      </c>
      <c r="E71" s="35">
        <f>SUM(Tabel13[[#This Row],[2023]]+Tabel13[[#This Row],[2024 lisanduv]])</f>
        <v>100000</v>
      </c>
      <c r="F71" s="32">
        <f>SUM(Tabel13[[#This Row],[Inv.
(15)]:[Maj.kulu
(55) ]])</f>
        <v>100000</v>
      </c>
      <c r="G71" s="32">
        <f>SUM(Tabel13[[#This Row],[Inv.
(15)2]:[Maj.kulu
(55) 2]])</f>
        <v>100000</v>
      </c>
      <c r="H71" s="32">
        <f>SUM(Tabel13[[#This Row],[Inv.
(15)3]:[Maj.kulu
(55) 3]])</f>
        <v>0</v>
      </c>
      <c r="I71" s="37">
        <f>SUM(Tabel13[[#This Row],[Inv.
(15)4]:[Maj.kulu
(55) 4]])</f>
        <v>100000</v>
      </c>
      <c r="J71" s="23"/>
      <c r="K71" s="22"/>
      <c r="L71" s="29">
        <v>100000</v>
      </c>
      <c r="M71" s="23"/>
      <c r="N71" s="22"/>
      <c r="O71" s="29">
        <v>100000</v>
      </c>
      <c r="P71" s="23"/>
      <c r="Q71" s="22"/>
      <c r="R71" s="22"/>
      <c r="S71" s="27">
        <v>0</v>
      </c>
      <c r="T71" s="22">
        <v>0</v>
      </c>
      <c r="U71" s="29">
        <v>100000</v>
      </c>
    </row>
    <row r="72" spans="1:21" x14ac:dyDescent="0.25">
      <c r="A72">
        <v>100</v>
      </c>
      <c r="B72" s="11" t="s">
        <v>37</v>
      </c>
      <c r="C72" s="11" t="s">
        <v>167</v>
      </c>
      <c r="D72" s="4" t="s">
        <v>150</v>
      </c>
      <c r="E72" s="35">
        <f>SUM(Tabel13[[#This Row],[2023]]+Tabel13[[#This Row],[2024 lisanduv]])</f>
        <v>135000</v>
      </c>
      <c r="F72" s="32">
        <f>SUM(Tabel13[[#This Row],[Inv.
(15)]:[Maj.kulu
(55) ]])</f>
        <v>135000</v>
      </c>
      <c r="G72" s="32">
        <f>SUM(Tabel13[[#This Row],[Inv.
(15)2]:[Maj.kulu
(55) 2]])</f>
        <v>135000</v>
      </c>
      <c r="H72" s="32">
        <f>SUM(Tabel13[[#This Row],[Inv.
(15)3]:[Maj.kulu
(55) 3]])</f>
        <v>0</v>
      </c>
      <c r="I72" s="37">
        <f>SUM(Tabel13[[#This Row],[Inv.
(15)4]:[Maj.kulu
(55) 4]])</f>
        <v>135000</v>
      </c>
      <c r="J72" s="23"/>
      <c r="K72" s="22"/>
      <c r="L72" s="29">
        <v>135000</v>
      </c>
      <c r="M72" s="23"/>
      <c r="N72" s="22"/>
      <c r="O72" s="29">
        <v>135000</v>
      </c>
      <c r="P72" s="23"/>
      <c r="Q72" s="22"/>
      <c r="R72" s="22"/>
      <c r="S72" s="27">
        <v>0</v>
      </c>
      <c r="T72" s="22">
        <v>0</v>
      </c>
      <c r="U72" s="29">
        <v>135000</v>
      </c>
    </row>
    <row r="73" spans="1:21" x14ac:dyDescent="0.25">
      <c r="A73">
        <v>101</v>
      </c>
      <c r="B73" s="11" t="s">
        <v>37</v>
      </c>
      <c r="C73" s="11" t="s">
        <v>167</v>
      </c>
      <c r="D73" s="4" t="s">
        <v>151</v>
      </c>
      <c r="E73" s="35">
        <f>SUM(Tabel13[[#This Row],[2023]]+Tabel13[[#This Row],[2024 lisanduv]])</f>
        <v>350000</v>
      </c>
      <c r="F73" s="32">
        <f>SUM(Tabel13[[#This Row],[Inv.
(15)]:[Maj.kulu
(55) ]])</f>
        <v>45000</v>
      </c>
      <c r="G73" s="32">
        <f>SUM(Tabel13[[#This Row],[Inv.
(15)2]:[Maj.kulu
(55) 2]])</f>
        <v>45000</v>
      </c>
      <c r="H73" s="32">
        <f>SUM(Tabel13[[#This Row],[Inv.
(15)3]:[Maj.kulu
(55) 3]])</f>
        <v>305000</v>
      </c>
      <c r="I73" s="37">
        <f>SUM(Tabel13[[#This Row],[Inv.
(15)4]:[Maj.kulu
(55) 4]])</f>
        <v>350000</v>
      </c>
      <c r="J73" s="23"/>
      <c r="K73" s="22"/>
      <c r="L73" s="29">
        <v>45000</v>
      </c>
      <c r="M73" s="23"/>
      <c r="N73" s="22"/>
      <c r="O73" s="29">
        <v>45000</v>
      </c>
      <c r="P73" s="23"/>
      <c r="Q73" s="22"/>
      <c r="R73" s="22">
        <v>305000</v>
      </c>
      <c r="S73" s="27">
        <v>0</v>
      </c>
      <c r="T73" s="22">
        <v>0</v>
      </c>
      <c r="U73" s="29">
        <v>350000</v>
      </c>
    </row>
    <row r="74" spans="1:21" x14ac:dyDescent="0.25">
      <c r="A74">
        <v>102</v>
      </c>
      <c r="B74" s="11" t="s">
        <v>37</v>
      </c>
      <c r="C74" s="11" t="s">
        <v>167</v>
      </c>
      <c r="D74" s="4" t="s">
        <v>152</v>
      </c>
      <c r="E74" s="35">
        <f>SUM(Tabel13[[#This Row],[2023]]+Tabel13[[#This Row],[2024 lisanduv]])</f>
        <v>40140</v>
      </c>
      <c r="F74" s="32">
        <f>SUM(Tabel13[[#This Row],[Inv.
(15)]:[Maj.kulu
(55) ]])</f>
        <v>0</v>
      </c>
      <c r="G74" s="32">
        <f>SUM(Tabel13[[#This Row],[Inv.
(15)2]:[Maj.kulu
(55) 2]])</f>
        <v>0</v>
      </c>
      <c r="H74" s="32">
        <f>SUM(Tabel13[[#This Row],[Inv.
(15)3]:[Maj.kulu
(55) 3]])</f>
        <v>40140</v>
      </c>
      <c r="I74" s="37">
        <f>SUM(Tabel13[[#This Row],[Inv.
(15)4]:[Maj.kulu
(55) 4]])</f>
        <v>40140</v>
      </c>
      <c r="J74" s="23"/>
      <c r="K74" s="22"/>
      <c r="L74" s="29"/>
      <c r="M74" s="23"/>
      <c r="N74" s="22"/>
      <c r="O74" s="29"/>
      <c r="P74" s="23"/>
      <c r="Q74" s="22">
        <v>40140</v>
      </c>
      <c r="R74" s="22"/>
      <c r="S74" s="27">
        <v>0</v>
      </c>
      <c r="T74" s="22">
        <v>40140</v>
      </c>
      <c r="U74" s="29">
        <v>0</v>
      </c>
    </row>
    <row r="75" spans="1:21" x14ac:dyDescent="0.25">
      <c r="A75">
        <v>103</v>
      </c>
      <c r="B75" s="11" t="s">
        <v>37</v>
      </c>
      <c r="C75" s="11" t="s">
        <v>167</v>
      </c>
      <c r="D75" s="4" t="s">
        <v>153</v>
      </c>
      <c r="E75" s="35">
        <f>SUM(Tabel13[[#This Row],[2023]]+Tabel13[[#This Row],[2024 lisanduv]])</f>
        <v>120000</v>
      </c>
      <c r="F75" s="32">
        <f>SUM(Tabel13[[#This Row],[Inv.
(15)]:[Maj.kulu
(55) ]])</f>
        <v>120000</v>
      </c>
      <c r="G75" s="32">
        <f>SUM(Tabel13[[#This Row],[Inv.
(15)2]:[Maj.kulu
(55) 2]])</f>
        <v>120000</v>
      </c>
      <c r="H75" s="32">
        <f>SUM(Tabel13[[#This Row],[Inv.
(15)3]:[Maj.kulu
(55) 3]])</f>
        <v>0</v>
      </c>
      <c r="I75" s="37">
        <f>SUM(Tabel13[[#This Row],[Inv.
(15)4]:[Maj.kulu
(55) 4]])</f>
        <v>120000</v>
      </c>
      <c r="J75" s="23"/>
      <c r="K75" s="22"/>
      <c r="L75" s="29">
        <v>120000</v>
      </c>
      <c r="M75" s="23"/>
      <c r="N75" s="22"/>
      <c r="O75" s="29">
        <v>120000</v>
      </c>
      <c r="P75" s="23"/>
      <c r="Q75" s="22"/>
      <c r="R75" s="22"/>
      <c r="S75" s="27">
        <v>0</v>
      </c>
      <c r="T75" s="22">
        <v>0</v>
      </c>
      <c r="U75" s="29">
        <v>120000</v>
      </c>
    </row>
    <row r="76" spans="1:21" x14ac:dyDescent="0.25">
      <c r="A76">
        <v>104</v>
      </c>
      <c r="B76" s="11" t="s">
        <v>37</v>
      </c>
      <c r="C76" s="11" t="s">
        <v>167</v>
      </c>
      <c r="D76" s="4" t="s">
        <v>154</v>
      </c>
      <c r="E76" s="35">
        <f>SUM(Tabel13[[#This Row],[2023]]+Tabel13[[#This Row],[2024 lisanduv]])</f>
        <v>80000</v>
      </c>
      <c r="F76" s="32">
        <f>SUM(Tabel13[[#This Row],[Inv.
(15)]:[Maj.kulu
(55) ]])</f>
        <v>0</v>
      </c>
      <c r="G76" s="32">
        <f>SUM(Tabel13[[#This Row],[Inv.
(15)2]:[Maj.kulu
(55) 2]])</f>
        <v>0</v>
      </c>
      <c r="H76" s="32">
        <f>SUM(Tabel13[[#This Row],[Inv.
(15)3]:[Maj.kulu
(55) 3]])</f>
        <v>80000</v>
      </c>
      <c r="I76" s="37">
        <f>SUM(Tabel13[[#This Row],[Inv.
(15)4]:[Maj.kulu
(55) 4]])</f>
        <v>80000</v>
      </c>
      <c r="J76" s="23"/>
      <c r="K76" s="22"/>
      <c r="L76" s="29"/>
      <c r="M76" s="23"/>
      <c r="N76" s="22"/>
      <c r="O76" s="29"/>
      <c r="P76" s="23"/>
      <c r="Q76" s="22"/>
      <c r="R76" s="22">
        <v>80000</v>
      </c>
      <c r="S76" s="27">
        <v>0</v>
      </c>
      <c r="T76" s="22">
        <v>0</v>
      </c>
      <c r="U76" s="29">
        <v>80000</v>
      </c>
    </row>
    <row r="77" spans="1:21" x14ac:dyDescent="0.25">
      <c r="A77">
        <v>105</v>
      </c>
      <c r="B77" s="11" t="s">
        <v>37</v>
      </c>
      <c r="C77" s="11" t="s">
        <v>167</v>
      </c>
      <c r="D77" s="4" t="s">
        <v>152</v>
      </c>
      <c r="E77" s="35">
        <f>SUM(Tabel13[[#This Row],[2023]]+Tabel13[[#This Row],[2024 lisanduv]])</f>
        <v>55193</v>
      </c>
      <c r="F77" s="32">
        <f>SUM(Tabel13[[#This Row],[Inv.
(15)]:[Maj.kulu
(55) ]])</f>
        <v>0</v>
      </c>
      <c r="G77" s="32">
        <f>SUM(Tabel13[[#This Row],[Inv.
(15)2]:[Maj.kulu
(55) 2]])</f>
        <v>0</v>
      </c>
      <c r="H77" s="32">
        <f>SUM(Tabel13[[#This Row],[Inv.
(15)3]:[Maj.kulu
(55) 3]])</f>
        <v>55193</v>
      </c>
      <c r="I77" s="38">
        <f>SUM(Tabel13[[#This Row],[Inv.
(15)4]:[Maj.kulu
(55) 4]])</f>
        <v>55193</v>
      </c>
      <c r="J77" s="27"/>
      <c r="K77" s="22"/>
      <c r="L77" s="29"/>
      <c r="M77" s="23"/>
      <c r="N77" s="22"/>
      <c r="O77" s="36"/>
      <c r="P77" s="27"/>
      <c r="Q77" s="22">
        <v>55193</v>
      </c>
      <c r="R77" s="22"/>
      <c r="S77" s="27">
        <v>0</v>
      </c>
      <c r="T77" s="22">
        <v>55193</v>
      </c>
      <c r="U77" s="29">
        <v>0</v>
      </c>
    </row>
    <row r="78" spans="1:21" x14ac:dyDescent="0.25">
      <c r="A78">
        <v>106</v>
      </c>
      <c r="B78" s="11" t="s">
        <v>37</v>
      </c>
      <c r="C78" s="11" t="s">
        <v>167</v>
      </c>
      <c r="D78" s="4" t="s">
        <v>155</v>
      </c>
      <c r="E78" s="35">
        <f>SUM(Tabel13[[#This Row],[2023]]+Tabel13[[#This Row],[2024 lisanduv]])</f>
        <v>180000</v>
      </c>
      <c r="F78" s="32">
        <f>SUM(Tabel13[[#This Row],[Inv.
(15)]:[Maj.kulu
(55) ]])</f>
        <v>100000</v>
      </c>
      <c r="G78" s="32">
        <f>SUM(Tabel13[[#This Row],[Inv.
(15)2]:[Maj.kulu
(55) 2]])</f>
        <v>100000</v>
      </c>
      <c r="H78" s="32">
        <f>SUM(Tabel13[[#This Row],[Inv.
(15)3]:[Maj.kulu
(55) 3]])</f>
        <v>80000</v>
      </c>
      <c r="I78" s="33">
        <f>SUM(Tabel13[[#This Row],[Inv.
(15)4]:[Maj.kulu
(55) 4]])</f>
        <v>180000</v>
      </c>
      <c r="J78" s="27"/>
      <c r="K78" s="22"/>
      <c r="L78" s="29">
        <v>100000</v>
      </c>
      <c r="M78" s="27"/>
      <c r="N78" s="22"/>
      <c r="O78" s="29">
        <v>100000</v>
      </c>
      <c r="P78" s="27">
        <v>80000</v>
      </c>
      <c r="Q78" s="22"/>
      <c r="R78" s="29"/>
      <c r="S78" s="27">
        <v>80000</v>
      </c>
      <c r="T78" s="22">
        <v>0</v>
      </c>
      <c r="U78" s="29">
        <v>100000</v>
      </c>
    </row>
    <row r="79" spans="1:21" x14ac:dyDescent="0.25">
      <c r="A79">
        <v>107</v>
      </c>
      <c r="B79" s="11" t="s">
        <v>37</v>
      </c>
      <c r="C79" s="11" t="s">
        <v>168</v>
      </c>
      <c r="D79" s="4" t="s">
        <v>156</v>
      </c>
      <c r="E79" s="35">
        <f>SUM(Tabel13[[#This Row],[2023]]+Tabel13[[#This Row],[2024 lisanduv]])</f>
        <v>32000</v>
      </c>
      <c r="F79" s="32">
        <f>SUM(Tabel13[[#This Row],[Inv.
(15)]:[Maj.kulu
(55) ]])</f>
        <v>0</v>
      </c>
      <c r="G79" s="32">
        <f>SUM(Tabel13[[#This Row],[Inv.
(15)2]:[Maj.kulu
(55) 2]])</f>
        <v>0</v>
      </c>
      <c r="H79" s="32">
        <f>SUM(Tabel13[[#This Row],[Inv.
(15)3]:[Maj.kulu
(55) 3]])</f>
        <v>32000</v>
      </c>
      <c r="I79" s="37">
        <f>SUM(Tabel13[[#This Row],[Inv.
(15)4]:[Maj.kulu
(55) 4]])</f>
        <v>32000</v>
      </c>
      <c r="J79" s="23"/>
      <c r="K79" s="22"/>
      <c r="L79" s="29"/>
      <c r="M79" s="23"/>
      <c r="N79" s="22"/>
      <c r="O79" s="29"/>
      <c r="P79" s="23"/>
      <c r="Q79" s="22"/>
      <c r="R79" s="22">
        <v>32000</v>
      </c>
      <c r="S79" s="27">
        <v>0</v>
      </c>
      <c r="T79" s="22">
        <v>0</v>
      </c>
      <c r="U79" s="29">
        <v>32000</v>
      </c>
    </row>
    <row r="80" spans="1:21" ht="30" x14ac:dyDescent="0.25">
      <c r="A80">
        <v>108</v>
      </c>
      <c r="B80" s="11" t="s">
        <v>37</v>
      </c>
      <c r="C80" s="11" t="s">
        <v>168</v>
      </c>
      <c r="D80" s="2" t="s">
        <v>172</v>
      </c>
      <c r="E80" s="35">
        <f>SUM(Tabel13[[#This Row],[2023]]+Tabel13[[#This Row],[2024 lisanduv]])</f>
        <v>120000</v>
      </c>
      <c r="F80" s="32">
        <f>SUM(Tabel13[[#This Row],[Inv.
(15)]:[Maj.kulu
(55) ]])</f>
        <v>0</v>
      </c>
      <c r="G80" s="32">
        <f>SUM(Tabel13[[#This Row],[Inv.
(15)2]:[Maj.kulu
(55) 2]])</f>
        <v>0</v>
      </c>
      <c r="H80" s="32">
        <f>SUM(Tabel13[[#This Row],[Inv.
(15)3]:[Maj.kulu
(55) 3]])</f>
        <v>120000</v>
      </c>
      <c r="I80" s="37">
        <f>SUM(Tabel13[[#This Row],[Inv.
(15)4]:[Maj.kulu
(55) 4]])</f>
        <v>120000</v>
      </c>
      <c r="J80" s="23"/>
      <c r="K80" s="22"/>
      <c r="L80" s="29"/>
      <c r="M80" s="23"/>
      <c r="N80" s="22"/>
      <c r="O80" s="29"/>
      <c r="P80" s="23"/>
      <c r="Q80" s="22">
        <v>120000</v>
      </c>
      <c r="R80" s="22"/>
      <c r="S80" s="27">
        <v>0</v>
      </c>
      <c r="T80" s="22">
        <v>120000</v>
      </c>
      <c r="U80" s="29">
        <v>0</v>
      </c>
    </row>
    <row r="81" spans="1:21" x14ac:dyDescent="0.25">
      <c r="A81">
        <v>109</v>
      </c>
      <c r="B81" s="11" t="s">
        <v>37</v>
      </c>
      <c r="C81" s="11" t="s">
        <v>168</v>
      </c>
      <c r="D81" s="4" t="s">
        <v>142</v>
      </c>
      <c r="E81" s="35">
        <f>SUM(Tabel13[[#This Row],[2023]]+Tabel13[[#This Row],[2024 lisanduv]])</f>
        <v>40000</v>
      </c>
      <c r="F81" s="32">
        <f>SUM(Tabel13[[#This Row],[Inv.
(15)]:[Maj.kulu
(55) ]])</f>
        <v>0</v>
      </c>
      <c r="G81" s="32">
        <f>SUM(Tabel13[[#This Row],[Inv.
(15)2]:[Maj.kulu
(55) 2]])</f>
        <v>0</v>
      </c>
      <c r="H81" s="32">
        <f>SUM(Tabel13[[#This Row],[Inv.
(15)3]:[Maj.kulu
(55) 3]])</f>
        <v>40000</v>
      </c>
      <c r="I81" s="37">
        <f>SUM(Tabel13[[#This Row],[Inv.
(15)4]:[Maj.kulu
(55) 4]])</f>
        <v>40000</v>
      </c>
      <c r="J81" s="23"/>
      <c r="K81" s="22"/>
      <c r="L81" s="29"/>
      <c r="M81" s="23"/>
      <c r="N81" s="22"/>
      <c r="O81" s="29"/>
      <c r="P81" s="23"/>
      <c r="Q81" s="22"/>
      <c r="R81" s="22">
        <v>40000</v>
      </c>
      <c r="S81" s="27">
        <v>0</v>
      </c>
      <c r="T81" s="22">
        <v>0</v>
      </c>
      <c r="U81" s="29">
        <v>40000</v>
      </c>
    </row>
    <row r="82" spans="1:21" x14ac:dyDescent="0.25">
      <c r="A82">
        <v>110</v>
      </c>
      <c r="B82" s="11" t="s">
        <v>37</v>
      </c>
      <c r="C82" s="11" t="s">
        <v>20</v>
      </c>
      <c r="D82" s="4" t="s">
        <v>157</v>
      </c>
      <c r="E82" s="35">
        <f>SUM(Tabel13[[#This Row],[2023]]+Tabel13[[#This Row],[2024 lisanduv]])</f>
        <v>181688</v>
      </c>
      <c r="F82" s="32">
        <f>SUM(Tabel13[[#This Row],[Inv.
(15)]:[Maj.kulu
(55) ]])</f>
        <v>174470</v>
      </c>
      <c r="G82" s="32">
        <f>SUM(Tabel13[[#This Row],[Inv.
(15)2]:[Maj.kulu
(55) 2]])</f>
        <v>135342</v>
      </c>
      <c r="H82" s="32">
        <f>SUM(Tabel13[[#This Row],[Inv.
(15)3]:[Maj.kulu
(55) 3]])</f>
        <v>7218</v>
      </c>
      <c r="I82" s="37">
        <f>SUM(Tabel13[[#This Row],[Inv.
(15)4]:[Maj.kulu
(55) 4]])</f>
        <v>142560</v>
      </c>
      <c r="J82" s="23"/>
      <c r="K82" s="22">
        <v>52182</v>
      </c>
      <c r="L82" s="29">
        <v>122288</v>
      </c>
      <c r="M82" s="23"/>
      <c r="N82" s="22">
        <v>52182</v>
      </c>
      <c r="O82" s="29">
        <v>83160</v>
      </c>
      <c r="P82" s="23"/>
      <c r="Q82" s="22">
        <v>7218</v>
      </c>
      <c r="R82" s="22"/>
      <c r="S82" s="27">
        <v>0</v>
      </c>
      <c r="T82" s="22">
        <v>59400</v>
      </c>
      <c r="U82" s="29">
        <v>83160</v>
      </c>
    </row>
    <row r="83" spans="1:21" x14ac:dyDescent="0.25">
      <c r="A83">
        <v>111</v>
      </c>
      <c r="B83" s="11" t="s">
        <v>37</v>
      </c>
      <c r="C83" s="11" t="s">
        <v>169</v>
      </c>
      <c r="D83" s="4" t="s">
        <v>158</v>
      </c>
      <c r="E83" s="35">
        <f>SUM(Tabel13[[#This Row],[2023]]+Tabel13[[#This Row],[2024 lisanduv]])</f>
        <v>79600</v>
      </c>
      <c r="F83" s="32">
        <f>SUM(Tabel13[[#This Row],[Inv.
(15)]:[Maj.kulu
(55) ]])</f>
        <v>39600</v>
      </c>
      <c r="G83" s="32">
        <f>SUM(Tabel13[[#This Row],[Inv.
(15)2]:[Maj.kulu
(55) 2]])</f>
        <v>0</v>
      </c>
      <c r="H83" s="32">
        <f>SUM(Tabel13[[#This Row],[Inv.
(15)3]:[Maj.kulu
(55) 3]])</f>
        <v>40000</v>
      </c>
      <c r="I83" s="37">
        <f>SUM(Tabel13[[#This Row],[Inv.
(15)4]:[Maj.kulu
(55) 4]])</f>
        <v>40000</v>
      </c>
      <c r="J83" s="23"/>
      <c r="K83" s="22"/>
      <c r="L83" s="29">
        <v>39600</v>
      </c>
      <c r="M83" s="23"/>
      <c r="N83" s="22"/>
      <c r="O83" s="29"/>
      <c r="P83" s="23"/>
      <c r="Q83" s="22"/>
      <c r="R83" s="22">
        <v>40000</v>
      </c>
      <c r="S83" s="27">
        <v>0</v>
      </c>
      <c r="T83" s="22">
        <v>0</v>
      </c>
      <c r="U83" s="29">
        <v>40000</v>
      </c>
    </row>
    <row r="84" spans="1:21" x14ac:dyDescent="0.25">
      <c r="A84">
        <v>112</v>
      </c>
      <c r="B84" s="11" t="s">
        <v>37</v>
      </c>
      <c r="C84" s="11" t="s">
        <v>169</v>
      </c>
      <c r="D84" s="4" t="s">
        <v>159</v>
      </c>
      <c r="E84" s="35">
        <f>SUM(Tabel13[[#This Row],[2023]]+Tabel13[[#This Row],[2024 lisanduv]])</f>
        <v>100000</v>
      </c>
      <c r="F84" s="32">
        <f>SUM(Tabel13[[#This Row],[Inv.
(15)]:[Maj.kulu
(55) ]])</f>
        <v>50000</v>
      </c>
      <c r="G84" s="32">
        <f>SUM(Tabel13[[#This Row],[Inv.
(15)2]:[Maj.kulu
(55) 2]])</f>
        <v>50000</v>
      </c>
      <c r="H84" s="32">
        <f>SUM(Tabel13[[#This Row],[Inv.
(15)3]:[Maj.kulu
(55) 3]])</f>
        <v>50000</v>
      </c>
      <c r="I84" s="37">
        <f>SUM(Tabel13[[#This Row],[Inv.
(15)4]:[Maj.kulu
(55) 4]])</f>
        <v>100000</v>
      </c>
      <c r="J84" s="23"/>
      <c r="K84" s="22"/>
      <c r="L84" s="29">
        <v>50000</v>
      </c>
      <c r="M84" s="23"/>
      <c r="N84" s="22"/>
      <c r="O84" s="29">
        <v>50000</v>
      </c>
      <c r="P84" s="23"/>
      <c r="Q84" s="22"/>
      <c r="R84" s="22">
        <v>50000</v>
      </c>
      <c r="S84" s="27">
        <v>0</v>
      </c>
      <c r="T84" s="22">
        <v>0</v>
      </c>
      <c r="U84" s="29">
        <v>100000</v>
      </c>
    </row>
    <row r="85" spans="1:21" x14ac:dyDescent="0.25">
      <c r="A85">
        <v>113</v>
      </c>
      <c r="B85" s="11" t="s">
        <v>37</v>
      </c>
      <c r="C85" s="11" t="s">
        <v>169</v>
      </c>
      <c r="D85" s="4" t="s">
        <v>160</v>
      </c>
      <c r="E85" s="35">
        <f>SUM(Tabel13[[#This Row],[2023]]+Tabel13[[#This Row],[2024 lisanduv]])</f>
        <v>50000</v>
      </c>
      <c r="F85" s="32">
        <f>SUM(Tabel13[[#This Row],[Inv.
(15)]:[Maj.kulu
(55) ]])</f>
        <v>50000</v>
      </c>
      <c r="G85" s="32">
        <f>SUM(Tabel13[[#This Row],[Inv.
(15)2]:[Maj.kulu
(55) 2]])</f>
        <v>50000</v>
      </c>
      <c r="H85" s="32">
        <f>SUM(Tabel13[[#This Row],[Inv.
(15)3]:[Maj.kulu
(55) 3]])</f>
        <v>0</v>
      </c>
      <c r="I85" s="37">
        <f>SUM(Tabel13[[#This Row],[Inv.
(15)4]:[Maj.kulu
(55) 4]])</f>
        <v>50000</v>
      </c>
      <c r="J85" s="23"/>
      <c r="K85" s="22"/>
      <c r="L85" s="29">
        <v>50000</v>
      </c>
      <c r="M85" s="23"/>
      <c r="N85" s="22"/>
      <c r="O85" s="29">
        <v>50000</v>
      </c>
      <c r="P85" s="23"/>
      <c r="Q85" s="22"/>
      <c r="R85" s="22"/>
      <c r="S85" s="27">
        <v>0</v>
      </c>
      <c r="T85" s="22">
        <v>0</v>
      </c>
      <c r="U85" s="29">
        <v>50000</v>
      </c>
    </row>
    <row r="86" spans="1:21" x14ac:dyDescent="0.25">
      <c r="A86">
        <v>114</v>
      </c>
      <c r="B86" s="11" t="s">
        <v>37</v>
      </c>
      <c r="C86" s="11" t="s">
        <v>169</v>
      </c>
      <c r="D86" s="4" t="s">
        <v>161</v>
      </c>
      <c r="E86" s="35">
        <f>SUM(Tabel13[[#This Row],[2023]]+Tabel13[[#This Row],[2024 lisanduv]])</f>
        <v>29998</v>
      </c>
      <c r="F86" s="32">
        <f>SUM(Tabel13[[#This Row],[Inv.
(15)]:[Maj.kulu
(55) ]])</f>
        <v>14998</v>
      </c>
      <c r="G86" s="32">
        <f>SUM(Tabel13[[#This Row],[Inv.
(15)2]:[Maj.kulu
(55) 2]])</f>
        <v>0</v>
      </c>
      <c r="H86" s="32">
        <f>SUM(Tabel13[[#This Row],[Inv.
(15)3]:[Maj.kulu
(55) 3]])</f>
        <v>15000</v>
      </c>
      <c r="I86" s="37">
        <f>SUM(Tabel13[[#This Row],[Inv.
(15)4]:[Maj.kulu
(55) 4]])</f>
        <v>15000</v>
      </c>
      <c r="J86" s="23"/>
      <c r="K86" s="22"/>
      <c r="L86" s="29">
        <v>14998</v>
      </c>
      <c r="M86" s="23"/>
      <c r="N86" s="22"/>
      <c r="O86" s="29"/>
      <c r="P86" s="23"/>
      <c r="Q86" s="22"/>
      <c r="R86" s="22">
        <v>15000</v>
      </c>
      <c r="S86" s="27">
        <v>0</v>
      </c>
      <c r="T86" s="22">
        <v>0</v>
      </c>
      <c r="U86" s="29">
        <v>15000</v>
      </c>
    </row>
    <row r="87" spans="1:21" x14ac:dyDescent="0.25">
      <c r="A87">
        <v>115</v>
      </c>
      <c r="B87" s="11" t="s">
        <v>37</v>
      </c>
      <c r="C87" s="11" t="s">
        <v>169</v>
      </c>
      <c r="D87" s="4" t="s">
        <v>162</v>
      </c>
      <c r="E87" s="35">
        <f>SUM(Tabel13[[#This Row],[2023]]+Tabel13[[#This Row],[2024 lisanduv]])</f>
        <v>29998</v>
      </c>
      <c r="F87" s="32">
        <f>SUM(Tabel13[[#This Row],[Inv.
(15)]:[Maj.kulu
(55) ]])</f>
        <v>0</v>
      </c>
      <c r="G87" s="32">
        <f>SUM(Tabel13[[#This Row],[Inv.
(15)2]:[Maj.kulu
(55) 2]])</f>
        <v>0</v>
      </c>
      <c r="H87" s="32">
        <f>SUM(Tabel13[[#This Row],[Inv.
(15)3]:[Maj.kulu
(55) 3]])</f>
        <v>29998</v>
      </c>
      <c r="I87" s="37">
        <f>SUM(Tabel13[[#This Row],[Inv.
(15)4]:[Maj.kulu
(55) 4]])</f>
        <v>29998</v>
      </c>
      <c r="J87" s="23"/>
      <c r="K87" s="22"/>
      <c r="L87" s="29"/>
      <c r="M87" s="23"/>
      <c r="N87" s="22"/>
      <c r="O87" s="29"/>
      <c r="P87" s="23"/>
      <c r="Q87" s="22"/>
      <c r="R87" s="22">
        <v>29998</v>
      </c>
      <c r="S87" s="27">
        <v>0</v>
      </c>
      <c r="T87" s="22">
        <v>0</v>
      </c>
      <c r="U87" s="29">
        <v>29998</v>
      </c>
    </row>
    <row r="88" spans="1:21" x14ac:dyDescent="0.25">
      <c r="A88">
        <v>116</v>
      </c>
      <c r="B88" s="11" t="s">
        <v>37</v>
      </c>
      <c r="C88" s="11" t="s">
        <v>170</v>
      </c>
      <c r="D88" s="4" t="s">
        <v>18</v>
      </c>
      <c r="E88" s="35">
        <f>SUM(Tabel13[[#This Row],[2023]]+Tabel13[[#This Row],[2024 lisanduv]])</f>
        <v>75000</v>
      </c>
      <c r="F88" s="32">
        <f>SUM(Tabel13[[#This Row],[Inv.
(15)]:[Maj.kulu
(55) ]])</f>
        <v>75000</v>
      </c>
      <c r="G88" s="32">
        <f>SUM(Tabel13[[#This Row],[Inv.
(15)2]:[Maj.kulu
(55) 2]])</f>
        <v>75000</v>
      </c>
      <c r="H88" s="32">
        <f>SUM(Tabel13[[#This Row],[Inv.
(15)3]:[Maj.kulu
(55) 3]])</f>
        <v>0</v>
      </c>
      <c r="I88" s="37">
        <f>SUM(Tabel13[[#This Row],[Inv.
(15)4]:[Maj.kulu
(55) 4]])</f>
        <v>75000</v>
      </c>
      <c r="J88" s="23">
        <v>75000</v>
      </c>
      <c r="K88" s="22">
        <v>0</v>
      </c>
      <c r="L88" s="29">
        <v>0</v>
      </c>
      <c r="M88" s="23">
        <v>75000</v>
      </c>
      <c r="N88" s="22"/>
      <c r="O88" s="29"/>
      <c r="P88" s="23"/>
      <c r="Q88" s="22"/>
      <c r="R88" s="22"/>
      <c r="S88" s="27">
        <v>75000</v>
      </c>
      <c r="T88" s="22">
        <v>0</v>
      </c>
      <c r="U88" s="29">
        <v>0</v>
      </c>
    </row>
    <row r="89" spans="1:21" x14ac:dyDescent="0.25">
      <c r="A89">
        <v>117</v>
      </c>
      <c r="B89" s="11" t="s">
        <v>37</v>
      </c>
      <c r="C89" s="11" t="s">
        <v>171</v>
      </c>
      <c r="D89" s="4" t="s">
        <v>163</v>
      </c>
      <c r="E89" s="35">
        <f>SUM(Tabel13[[#This Row],[2023]]+Tabel13[[#This Row],[2024 lisanduv]])</f>
        <v>30000</v>
      </c>
      <c r="F89" s="32">
        <f>SUM(Tabel13[[#This Row],[Inv.
(15)]:[Maj.kulu
(55) ]])</f>
        <v>0</v>
      </c>
      <c r="G89" s="32">
        <f>SUM(Tabel13[[#This Row],[Inv.
(15)2]:[Maj.kulu
(55) 2]])</f>
        <v>0</v>
      </c>
      <c r="H89" s="32">
        <f>SUM(Tabel13[[#This Row],[Inv.
(15)3]:[Maj.kulu
(55) 3]])</f>
        <v>30000</v>
      </c>
      <c r="I89" s="37">
        <f>SUM(Tabel13[[#This Row],[Inv.
(15)4]:[Maj.kulu
(55) 4]])</f>
        <v>30000</v>
      </c>
      <c r="J89" s="23"/>
      <c r="K89" s="22"/>
      <c r="L89" s="29"/>
      <c r="M89" s="23"/>
      <c r="N89" s="22"/>
      <c r="O89" s="29"/>
      <c r="P89" s="23">
        <v>30000</v>
      </c>
      <c r="Q89" s="22"/>
      <c r="R89" s="22"/>
      <c r="S89" s="27">
        <v>30000</v>
      </c>
      <c r="T89" s="22">
        <v>0</v>
      </c>
      <c r="U89" s="29">
        <v>0</v>
      </c>
    </row>
    <row r="90" spans="1:21" x14ac:dyDescent="0.25">
      <c r="A90">
        <v>118</v>
      </c>
      <c r="B90" s="11" t="s">
        <v>37</v>
      </c>
      <c r="C90" s="11" t="s">
        <v>171</v>
      </c>
      <c r="D90" s="4" t="s">
        <v>164</v>
      </c>
      <c r="E90" s="35">
        <f>SUM(Tabel13[[#This Row],[2023]]+Tabel13[[#This Row],[2024 lisanduv]])</f>
        <v>30000</v>
      </c>
      <c r="F90" s="32">
        <f>SUM(Tabel13[[#This Row],[Inv.
(15)]:[Maj.kulu
(55) ]])</f>
        <v>0</v>
      </c>
      <c r="G90" s="32">
        <f>SUM(Tabel13[[#This Row],[Inv.
(15)2]:[Maj.kulu
(55) 2]])</f>
        <v>0</v>
      </c>
      <c r="H90" s="32">
        <f>SUM(Tabel13[[#This Row],[Inv.
(15)3]:[Maj.kulu
(55) 3]])</f>
        <v>30000</v>
      </c>
      <c r="I90" s="37">
        <f>SUM(Tabel13[[#This Row],[Inv.
(15)4]:[Maj.kulu
(55) 4]])</f>
        <v>30000</v>
      </c>
      <c r="J90" s="23"/>
      <c r="K90" s="22"/>
      <c r="L90" s="29"/>
      <c r="M90" s="23"/>
      <c r="N90" s="22"/>
      <c r="O90" s="29"/>
      <c r="P90" s="23"/>
      <c r="Q90" s="22"/>
      <c r="R90" s="22">
        <v>30000</v>
      </c>
      <c r="S90" s="27">
        <v>0</v>
      </c>
      <c r="T90" s="22">
        <v>0</v>
      </c>
      <c r="U90" s="29">
        <v>30000</v>
      </c>
    </row>
    <row r="91" spans="1:21" x14ac:dyDescent="0.25">
      <c r="A91">
        <v>119</v>
      </c>
      <c r="B91" s="11" t="s">
        <v>37</v>
      </c>
      <c r="C91" s="11" t="s">
        <v>171</v>
      </c>
      <c r="D91" s="4" t="s">
        <v>165</v>
      </c>
      <c r="E91" s="35">
        <f>SUM(Tabel13[[#This Row],[2023]]+Tabel13[[#This Row],[2024 lisanduv]])</f>
        <v>119200</v>
      </c>
      <c r="F91" s="32">
        <f>SUM(Tabel13[[#This Row],[Inv.
(15)]:[Maj.kulu
(55) ]])</f>
        <v>0</v>
      </c>
      <c r="G91" s="32">
        <f>SUM(Tabel13[[#This Row],[Inv.
(15)2]:[Maj.kulu
(55) 2]])</f>
        <v>0</v>
      </c>
      <c r="H91" s="32">
        <f>SUM(Tabel13[[#This Row],[Inv.
(15)3]:[Maj.kulu
(55) 3]])</f>
        <v>119200</v>
      </c>
      <c r="I91" s="37">
        <f>SUM(Tabel13[[#This Row],[Inv.
(15)4]:[Maj.kulu
(55) 4]])</f>
        <v>119200</v>
      </c>
      <c r="J91" s="23"/>
      <c r="K91" s="22"/>
      <c r="L91" s="29"/>
      <c r="M91" s="23"/>
      <c r="N91" s="22"/>
      <c r="O91" s="29"/>
      <c r="P91" s="23"/>
      <c r="Q91" s="22">
        <v>119200</v>
      </c>
      <c r="R91" s="22"/>
      <c r="S91" s="27">
        <v>0</v>
      </c>
      <c r="T91" s="22">
        <v>119200</v>
      </c>
      <c r="U91" s="29">
        <v>0</v>
      </c>
    </row>
    <row r="92" spans="1:21" ht="45" x14ac:dyDescent="0.25">
      <c r="A92">
        <v>120</v>
      </c>
      <c r="B92" s="11" t="s">
        <v>37</v>
      </c>
      <c r="C92" s="40" t="s">
        <v>174</v>
      </c>
      <c r="D92" s="2" t="s">
        <v>173</v>
      </c>
      <c r="E92" s="35">
        <f>SUM(Tabel13[[#This Row],[2023]]+Tabel13[[#This Row],[2024 lisanduv]])</f>
        <v>50000</v>
      </c>
      <c r="F92" s="32">
        <f>SUM(Tabel13[[#This Row],[Inv.
(15)]:[Maj.kulu
(55) ]])</f>
        <v>0</v>
      </c>
      <c r="G92" s="32">
        <f>SUM(Tabel13[[#This Row],[Inv.
(15)2]:[Maj.kulu
(55) 2]])</f>
        <v>0</v>
      </c>
      <c r="H92" s="32">
        <f>SUM(Tabel13[[#This Row],[Inv.
(15)3]:[Maj.kulu
(55) 3]])</f>
        <v>50000</v>
      </c>
      <c r="I92" s="32">
        <f>SUM(Tabel13[[#This Row],[Inv.
(15)4]:[Maj.kulu
(55) 4]])</f>
        <v>50000</v>
      </c>
      <c r="J92" s="27"/>
      <c r="K92" s="22"/>
      <c r="L92" s="22"/>
      <c r="M92" s="27"/>
      <c r="N92" s="22"/>
      <c r="O92" s="22"/>
      <c r="P92" s="27"/>
      <c r="Q92" s="22"/>
      <c r="R92" s="22">
        <v>50000</v>
      </c>
      <c r="S92" s="27"/>
      <c r="T92" s="22"/>
      <c r="U92" s="22">
        <v>50000</v>
      </c>
    </row>
    <row r="93" spans="1:21" x14ac:dyDescent="0.25">
      <c r="A93" s="12"/>
      <c r="B93" s="12"/>
      <c r="C93" s="12"/>
      <c r="D93" s="47" t="s">
        <v>48</v>
      </c>
      <c r="E93" s="46">
        <f>SUM(Tabel13[Summa kokku 
2023-2024])</f>
        <v>15594510</v>
      </c>
      <c r="F93" s="41">
        <f>SUM(Tabel13[2023])</f>
        <v>6330924</v>
      </c>
      <c r="G93" s="41">
        <f>SUM(Tabel13[2024 
(2023 jätk)])</f>
        <v>5334366</v>
      </c>
      <c r="H93" s="41">
        <f>SUM(Tabel13[2024 lisanduv])</f>
        <v>9263586</v>
      </c>
      <c r="I93" s="41">
        <f>SUM(Tabel13[2024])</f>
        <v>14597952</v>
      </c>
      <c r="J93" s="41">
        <f>SUM(Tabel13[2023])</f>
        <v>6330924</v>
      </c>
      <c r="K93" s="41">
        <f>SUM(Tabel13[2024 
(2023 jätk)])</f>
        <v>5334366</v>
      </c>
      <c r="L93" s="41">
        <f>SUM(Tabel13[2024 lisanduv])</f>
        <v>9263586</v>
      </c>
      <c r="M93" s="41">
        <f>SUM(Tabel13[2024])</f>
        <v>14597952</v>
      </c>
      <c r="N93" s="41">
        <f>SUM(Tabel13[Inv.
(15)])</f>
        <v>3205234</v>
      </c>
      <c r="O93" s="41">
        <f>SUM(Tabel13[2024 
(2023 jätk)])</f>
        <v>5334366</v>
      </c>
      <c r="P93" s="41">
        <f>SUM(Tabel13[2024 lisanduv])</f>
        <v>9263586</v>
      </c>
      <c r="Q93" s="41">
        <f>SUM(Tabel13[2024])</f>
        <v>14597952</v>
      </c>
      <c r="R93" s="41">
        <f>SUM(Tabel13[Inv.
(15)])</f>
        <v>3205234</v>
      </c>
      <c r="S93" s="41">
        <f>SUM(Tabel13[Tööj.kulu
(50)])</f>
        <v>1004929</v>
      </c>
      <c r="T93" s="41">
        <f>SUM(Tabel13[2024 lisanduv])</f>
        <v>9263586</v>
      </c>
      <c r="U93" s="41">
        <f>SUM(Tabel13[2024])</f>
        <v>14597952</v>
      </c>
    </row>
    <row r="94" spans="1:21" ht="45" x14ac:dyDescent="0.25">
      <c r="E94" s="42" t="s">
        <v>89</v>
      </c>
      <c r="F94" s="43" t="s">
        <v>77</v>
      </c>
      <c r="G94" s="44" t="s">
        <v>88</v>
      </c>
      <c r="H94" s="44" t="s">
        <v>80</v>
      </c>
      <c r="I94" s="43" t="s">
        <v>78</v>
      </c>
      <c r="J94" s="45" t="s">
        <v>65</v>
      </c>
      <c r="K94" s="44" t="s">
        <v>69</v>
      </c>
      <c r="L94" s="44" t="s">
        <v>73</v>
      </c>
      <c r="M94" s="45" t="s">
        <v>66</v>
      </c>
      <c r="N94" s="44" t="s">
        <v>70</v>
      </c>
      <c r="O94" s="44" t="s">
        <v>74</v>
      </c>
      <c r="P94" s="45" t="s">
        <v>67</v>
      </c>
      <c r="Q94" s="44" t="s">
        <v>71</v>
      </c>
      <c r="R94" s="44" t="s">
        <v>75</v>
      </c>
      <c r="S94" s="45" t="s">
        <v>68</v>
      </c>
      <c r="T94" s="44" t="s">
        <v>72</v>
      </c>
      <c r="U94" s="44" t="s">
        <v>76</v>
      </c>
    </row>
    <row r="95" spans="1:21" ht="54" customHeight="1" x14ac:dyDescent="0.25">
      <c r="E95" s="97" t="s">
        <v>79</v>
      </c>
      <c r="F95" s="97"/>
      <c r="G95" s="97"/>
      <c r="H95" s="97"/>
      <c r="I95" s="97"/>
      <c r="J95" s="97" t="s">
        <v>62</v>
      </c>
      <c r="K95" s="97"/>
      <c r="L95" s="98"/>
      <c r="M95" s="99" t="s">
        <v>63</v>
      </c>
      <c r="N95" s="100"/>
      <c r="O95" s="100"/>
      <c r="P95" s="100" t="s">
        <v>58</v>
      </c>
      <c r="Q95" s="100"/>
      <c r="R95" s="101"/>
      <c r="S95" s="99" t="s">
        <v>64</v>
      </c>
      <c r="T95" s="100"/>
      <c r="U95" s="101"/>
    </row>
  </sheetData>
  <mergeCells count="10">
    <mergeCell ref="E95:I95"/>
    <mergeCell ref="J95:L95"/>
    <mergeCell ref="M95:O95"/>
    <mergeCell ref="P95:R95"/>
    <mergeCell ref="S95:U95"/>
    <mergeCell ref="J2:L2"/>
    <mergeCell ref="M2:O2"/>
    <mergeCell ref="P2:R2"/>
    <mergeCell ref="S2:U2"/>
    <mergeCell ref="E2:I2"/>
  </mergeCells>
  <phoneticPr fontId="2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p G K q V t 9 g a r 2 l A A A A 9 g A A A B I A H A B D b 2 5 m a W c v U G F j a 2 F n Z S 5 4 b W w g o h g A K K A U A A A A A A A A A A A A A A A A A A A A A A A A A A A A h Y 9 N D o I w G E S v Q r q n P 0 i M I R 9 l Y d h J Y m J i 3 D a l Q i M U Q 4 v l b i 4 8 k l c Q o 6 g 7 l / P m L W b u 1 x t k Y 9 s E F 9 V b 3 Z k U M U x R o I z s S m 2 q F A 3 u G K 5 Q x m E r 5 E l U K p h k Y 5 P R l i m q n T s n h H j v s V / g r q 9 I R C k j h 2 K z k 7 V q B f r I + r 8 c a m O d M F I h D v v X G B 5 h x p Y 4 p j G m Q G Y I h T Z f I Z r 2 P t s f C O u h c U O v u H J h n g O Z I 5 D 3 B / 4 A U E s D B B Q A A g A I A K R i q l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k Y q p W K I p H u A 4 A A A A R A A A A E w A c A E Z v c m 1 1 b G F z L 1 N l Y 3 R p b 2 4 x L m 0 g o h g A K K A U A A A A A A A A A A A A A A A A A A A A A A A A A A A A K 0 5 N L s n M z 1 M I h t C G 1 g B Q S w E C L Q A U A A I A C A C k Y q p W 3 2 B q v a U A A A D 2 A A A A E g A A A A A A A A A A A A A A A A A A A A A A Q 2 9 u Z m l n L 1 B h Y 2 t h Z 2 U u e G 1 s U E s B A i 0 A F A A C A A g A p G K q V g / K 6 a u k A A A A 6 Q A A A B M A A A A A A A A A A A A A A A A A 8 Q A A A F t D b 2 5 0 Z W 5 0 X 1 R 5 c G V z X S 5 4 b W x Q S w E C L Q A U A A I A C A C k Y q p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Y M X K w G r f F k a g a M Z 8 6 z U u H g A A A A A C A A A A A A A D Z g A A w A A A A B A A A A A O r z y T 5 Q y h r e G U v C n M F D 0 N A A A A A A S A A A C g A A A A E A A A A C 8 q 3 a V X p P / r s D Y p f O 2 3 2 A R Q A A A A w + P F r J 5 K 6 M + V X w 9 F S H 0 r d G 2 u r G m Q h z 8 g s b o W K B K 0 F V m h g 7 1 1 e k t R 2 y K 2 Y C k T G I d s 8 V j w L 3 d q U P R 2 0 f y l h w C n F 0 M U r n j r H W U n d b w W M M l i D O k U A A A A F H f h 2 w T z 1 x K L 2 V i h u T i L j p w K K S g = < / D a t a M a s h u p > 
</file>

<file path=customXml/itemProps1.xml><?xml version="1.0" encoding="utf-8"?>
<ds:datastoreItem xmlns:ds="http://schemas.openxmlformats.org/officeDocument/2006/customXml" ds:itemID="{6BBC3722-3D5E-4BBA-97CF-08F6A420442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3</vt:i4>
      </vt:variant>
      <vt:variant>
        <vt:lpstr>Nimega vahemikud</vt:lpstr>
      </vt:variant>
      <vt:variant>
        <vt:i4>1</vt:i4>
      </vt:variant>
    </vt:vector>
  </HeadingPairs>
  <TitlesOfParts>
    <vt:vector size="4" baseType="lpstr">
      <vt:lpstr>2024</vt:lpstr>
      <vt:lpstr>2023</vt:lpstr>
      <vt:lpstr>2024 KM-ta</vt:lpstr>
      <vt:lpstr>'2024'!Prindiala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Eerik Robert Ots</dc:creator>
  <cp:lastModifiedBy>Eerik Robert Ots</cp:lastModifiedBy>
  <cp:lastPrinted>2024-02-21T13:04:42Z</cp:lastPrinted>
  <dcterms:created xsi:type="dcterms:W3CDTF">2023-05-05T13:00:10Z</dcterms:created>
  <dcterms:modified xsi:type="dcterms:W3CDTF">2024-02-22T07:40:32Z</dcterms:modified>
</cp:coreProperties>
</file>